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2\"/>
    </mc:Choice>
  </mc:AlternateContent>
  <bookViews>
    <workbookView xWindow="0" yWindow="0" windowWidth="28800" windowHeight="11700" firstSheet="1" activeTab="1"/>
  </bookViews>
  <sheets>
    <sheet name="Instruções" sheetId="1" state="hidden" r:id="rId1"/>
    <sheet name="2022" sheetId="2" r:id="rId2"/>
    <sheet name="Gráficos " sheetId="3" r:id="rId3"/>
  </sheets>
  <definedNames>
    <definedName name="Z_A38A639B_EE15_4884_9EDC_76F64D0A3F8A_.wvu.FilterData" localSheetId="1" hidden="1">'2022'!$C$1:$C$930</definedName>
  </definedNames>
  <calcPr calcId="162913"/>
  <customWorkbookViews>
    <customWorkbookView name="Filtro 1" guid="{A38A639B-EE15-4884-9EDC-76F64D0A3F8A}" maximized="1" windowWidth="0" windowHeight="0" activeSheetId="0"/>
  </customWorkbookViews>
  <extLst>
    <ext uri="GoogleSheetsCustomDataVersion2">
      <go:sheetsCustomData xmlns:go="http://customooxmlschemas.google.com/" r:id="rId7" roundtripDataChecksum="5pLZ8a2JYf5tMHz/l+ukzc71/hGbEGNk1Sd/kdfGkpk="/>
    </ext>
  </extLst>
</workbook>
</file>

<file path=xl/calcChain.xml><?xml version="1.0" encoding="utf-8"?>
<calcChain xmlns="http://schemas.openxmlformats.org/spreadsheetml/2006/main">
  <c r="BW202" i="2" l="1"/>
  <c r="BV202" i="2"/>
  <c r="BU202" i="2"/>
  <c r="BT202" i="2"/>
  <c r="BS202" i="2"/>
  <c r="BR202" i="2"/>
  <c r="BQ202" i="2"/>
  <c r="BP202" i="2"/>
  <c r="BO202" i="2"/>
  <c r="BN202" i="2"/>
  <c r="BM202" i="2"/>
  <c r="T202" i="2" s="1"/>
  <c r="BL202" i="2"/>
  <c r="BK202" i="2"/>
  <c r="BW200" i="2"/>
  <c r="BV200" i="2"/>
  <c r="BU200" i="2"/>
  <c r="BT200" i="2"/>
  <c r="BS200" i="2"/>
  <c r="BR200" i="2"/>
  <c r="BQ200" i="2"/>
  <c r="BP200" i="2"/>
  <c r="BO200" i="2"/>
  <c r="BN200" i="2"/>
  <c r="BM200" i="2"/>
  <c r="T200" i="2" s="1"/>
  <c r="BL200" i="2"/>
  <c r="BK200" i="2"/>
  <c r="BW198" i="2"/>
  <c r="BV198" i="2"/>
  <c r="BU198" i="2"/>
  <c r="BT198" i="2"/>
  <c r="BS198" i="2"/>
  <c r="BR198" i="2"/>
  <c r="BQ198" i="2"/>
  <c r="BP198" i="2"/>
  <c r="BO198" i="2"/>
  <c r="BN198" i="2"/>
  <c r="BM198" i="2"/>
  <c r="BL198" i="2"/>
  <c r="S198" i="2" s="1"/>
  <c r="BK198" i="2"/>
  <c r="BW196" i="2"/>
  <c r="BV196" i="2"/>
  <c r="BU196" i="2"/>
  <c r="BT196" i="2"/>
  <c r="BS196" i="2"/>
  <c r="BR196" i="2"/>
  <c r="BQ196" i="2"/>
  <c r="BP196" i="2"/>
  <c r="BO196" i="2"/>
  <c r="BN196" i="2"/>
  <c r="BM196" i="2"/>
  <c r="BL196" i="2"/>
  <c r="BK196" i="2"/>
  <c r="BW193" i="2"/>
  <c r="BV193" i="2"/>
  <c r="BU193" i="2"/>
  <c r="BT193" i="2"/>
  <c r="BS193" i="2"/>
  <c r="BR193" i="2"/>
  <c r="BQ193" i="2"/>
  <c r="BP193" i="2"/>
  <c r="BO193" i="2"/>
  <c r="BN193" i="2"/>
  <c r="BM193" i="2"/>
  <c r="BL193" i="2"/>
  <c r="BL184" i="2" s="1"/>
  <c r="BK193" i="2"/>
  <c r="BW191" i="2"/>
  <c r="BV191" i="2"/>
  <c r="BU191" i="2"/>
  <c r="BT191" i="2"/>
  <c r="BS191" i="2"/>
  <c r="BR191" i="2"/>
  <c r="BQ191" i="2"/>
  <c r="BP191" i="2"/>
  <c r="BO191" i="2"/>
  <c r="BN191" i="2"/>
  <c r="BM191" i="2"/>
  <c r="T191" i="2" s="1"/>
  <c r="T737" i="2" s="1"/>
  <c r="BL191" i="2"/>
  <c r="BK191" i="2"/>
  <c r="BK19" i="2"/>
  <c r="BL19" i="2"/>
  <c r="BM19" i="2" s="1"/>
  <c r="BN6" i="2"/>
  <c r="BP6" i="2" s="1"/>
  <c r="BO6" i="2"/>
  <c r="BQ6" i="2"/>
  <c r="BR6" i="2"/>
  <c r="BS6" i="2" s="1"/>
  <c r="K182" i="3"/>
  <c r="H182" i="3"/>
  <c r="K181" i="3"/>
  <c r="H181" i="3"/>
  <c r="K180" i="3"/>
  <c r="H180" i="3"/>
  <c r="K179" i="3"/>
  <c r="H179" i="3"/>
  <c r="K178" i="3"/>
  <c r="H178" i="3"/>
  <c r="K177" i="3"/>
  <c r="H177" i="3"/>
  <c r="K176" i="3"/>
  <c r="H176" i="3"/>
  <c r="K175" i="3"/>
  <c r="H175" i="3"/>
  <c r="K174" i="3"/>
  <c r="H174" i="3"/>
  <c r="K173" i="3"/>
  <c r="H173" i="3"/>
  <c r="K172" i="3"/>
  <c r="H172" i="3"/>
  <c r="K171" i="3"/>
  <c r="H171" i="3"/>
  <c r="N169" i="3"/>
  <c r="I169" i="3"/>
  <c r="N142" i="3"/>
  <c r="N115" i="3"/>
  <c r="I115" i="3"/>
  <c r="M88" i="3"/>
  <c r="K67" i="3"/>
  <c r="K66" i="3"/>
  <c r="E66" i="3"/>
  <c r="K65" i="3"/>
  <c r="E65" i="3"/>
  <c r="B65" i="3"/>
  <c r="K64" i="3"/>
  <c r="E64" i="3"/>
  <c r="B64" i="3"/>
  <c r="K63" i="3"/>
  <c r="E63" i="3"/>
  <c r="M61" i="3"/>
  <c r="I61" i="3"/>
  <c r="F61" i="3"/>
  <c r="C61" i="3"/>
  <c r="M41" i="3"/>
  <c r="H38" i="3"/>
  <c r="E38" i="3"/>
  <c r="B38" i="3"/>
  <c r="M37" i="3"/>
  <c r="H37" i="3"/>
  <c r="E37" i="3"/>
  <c r="B37" i="3"/>
  <c r="H36" i="3"/>
  <c r="E36" i="3"/>
  <c r="B36" i="3"/>
  <c r="M35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H9" i="3"/>
  <c r="E9" i="3"/>
  <c r="B9" i="3"/>
  <c r="H8" i="3"/>
  <c r="E8" i="3"/>
  <c r="B8" i="3"/>
  <c r="H7" i="3"/>
  <c r="E7" i="3"/>
  <c r="B7" i="3"/>
  <c r="H6" i="3"/>
  <c r="E6" i="3"/>
  <c r="B6" i="3"/>
  <c r="H5" i="3"/>
  <c r="E5" i="3"/>
  <c r="B5" i="3"/>
  <c r="I3" i="3"/>
  <c r="F3" i="3"/>
  <c r="C3" i="3"/>
  <c r="AO730" i="2"/>
  <c r="AK730" i="2"/>
  <c r="AG730" i="2"/>
  <c r="BV729" i="2"/>
  <c r="BU729" i="2"/>
  <c r="AC729" i="2"/>
  <c r="BV728" i="2"/>
  <c r="BU728" i="2"/>
  <c r="BV727" i="2"/>
  <c r="BU727" i="2"/>
  <c r="AC727" i="2"/>
  <c r="M727" i="2"/>
  <c r="BV726" i="2"/>
  <c r="BU726" i="2"/>
  <c r="AC726" i="2"/>
  <c r="BV725" i="2"/>
  <c r="BU725" i="2"/>
  <c r="AC725" i="2"/>
  <c r="M725" i="2"/>
  <c r="BV724" i="2"/>
  <c r="BU724" i="2"/>
  <c r="AC724" i="2"/>
  <c r="BV723" i="2"/>
  <c r="BU723" i="2"/>
  <c r="R723" i="2"/>
  <c r="BV722" i="2"/>
  <c r="BU722" i="2"/>
  <c r="BV721" i="2"/>
  <c r="BU721" i="2"/>
  <c r="BV720" i="2"/>
  <c r="BD720" i="2"/>
  <c r="AX720" i="2"/>
  <c r="H718" i="2" s="1"/>
  <c r="AW720" i="2"/>
  <c r="AV720" i="2"/>
  <c r="AK720" i="2"/>
  <c r="AI720" i="2"/>
  <c r="AF720" i="2"/>
  <c r="M45" i="3" s="1"/>
  <c r="AE720" i="2"/>
  <c r="M44" i="3" s="1"/>
  <c r="AD720" i="2"/>
  <c r="M43" i="3" s="1"/>
  <c r="AC720" i="2"/>
  <c r="M42" i="3" s="1"/>
  <c r="AB720" i="2"/>
  <c r="AA720" i="2"/>
  <c r="M40" i="3" s="1"/>
  <c r="BV719" i="2"/>
  <c r="BU719" i="2"/>
  <c r="BT719" i="2"/>
  <c r="BV718" i="2"/>
  <c r="BT718" i="2"/>
  <c r="AN718" i="2"/>
  <c r="AJ718" i="2"/>
  <c r="M724" i="2" s="1"/>
  <c r="AH718" i="2"/>
  <c r="AF718" i="2"/>
  <c r="M39" i="3" s="1"/>
  <c r="AE718" i="2"/>
  <c r="M38" i="3" s="1"/>
  <c r="AC718" i="2"/>
  <c r="M36" i="3" s="1"/>
  <c r="AA718" i="2"/>
  <c r="M34" i="3" s="1"/>
  <c r="BV717" i="2"/>
  <c r="BU717" i="2"/>
  <c r="BT717" i="2"/>
  <c r="BV716" i="2"/>
  <c r="BU716" i="2"/>
  <c r="Z715" i="2"/>
  <c r="Y715" i="2"/>
  <c r="X715" i="2"/>
  <c r="J715" i="2"/>
  <c r="I715" i="2"/>
  <c r="G715" i="2"/>
  <c r="F715" i="2"/>
  <c r="BO714" i="2"/>
  <c r="BN714" i="2"/>
  <c r="BP714" i="2" s="1"/>
  <c r="BU714" i="2" s="1"/>
  <c r="Z714" i="2"/>
  <c r="X714" i="2"/>
  <c r="V714" i="2"/>
  <c r="BT714" i="2" s="1"/>
  <c r="T714" i="2"/>
  <c r="S714" i="2"/>
  <c r="R714" i="2"/>
  <c r="Q714" i="2"/>
  <c r="W714" i="2" s="1"/>
  <c r="BR714" i="2" s="1"/>
  <c r="P714" i="2"/>
  <c r="Y714" i="2" s="1"/>
  <c r="O714" i="2"/>
  <c r="U714" i="2" s="1"/>
  <c r="BQ714" i="2" s="1"/>
  <c r="BS714" i="2" s="1"/>
  <c r="BV714" i="2" s="1"/>
  <c r="G714" i="2"/>
  <c r="I714" i="2" s="1"/>
  <c r="Y713" i="2"/>
  <c r="T713" i="2"/>
  <c r="S713" i="2"/>
  <c r="V713" i="2" s="1"/>
  <c r="BT713" i="2" s="1"/>
  <c r="R713" i="2"/>
  <c r="Q713" i="2"/>
  <c r="Z713" i="2" s="1"/>
  <c r="P713" i="2"/>
  <c r="O713" i="2"/>
  <c r="I713" i="2"/>
  <c r="G713" i="2"/>
  <c r="J713" i="2" s="1"/>
  <c r="BO712" i="2"/>
  <c r="Z712" i="2"/>
  <c r="W712" i="2"/>
  <c r="BR712" i="2" s="1"/>
  <c r="V712" i="2"/>
  <c r="BT712" i="2" s="1"/>
  <c r="T712" i="2"/>
  <c r="S712" i="2"/>
  <c r="R712" i="2"/>
  <c r="Q712" i="2"/>
  <c r="P712" i="2"/>
  <c r="Y712" i="2" s="1"/>
  <c r="O712" i="2"/>
  <c r="BN712" i="2" s="1"/>
  <c r="K712" i="2"/>
  <c r="G712" i="2"/>
  <c r="J712" i="2" s="1"/>
  <c r="BO711" i="2"/>
  <c r="Z711" i="2"/>
  <c r="X711" i="2"/>
  <c r="T711" i="2"/>
  <c r="S711" i="2"/>
  <c r="V711" i="2" s="1"/>
  <c r="BT711" i="2" s="1"/>
  <c r="R711" i="2"/>
  <c r="Q711" i="2"/>
  <c r="W711" i="2" s="1"/>
  <c r="BR711" i="2" s="1"/>
  <c r="P711" i="2"/>
  <c r="Y711" i="2" s="1"/>
  <c r="O711" i="2"/>
  <c r="BN711" i="2" s="1"/>
  <c r="J711" i="2"/>
  <c r="I711" i="2"/>
  <c r="G711" i="2"/>
  <c r="BT710" i="2"/>
  <c r="Y710" i="2"/>
  <c r="T710" i="2"/>
  <c r="S710" i="2"/>
  <c r="V710" i="2" s="1"/>
  <c r="R710" i="2"/>
  <c r="Q710" i="2"/>
  <c r="P710" i="2"/>
  <c r="O710" i="2"/>
  <c r="J710" i="2"/>
  <c r="I710" i="2"/>
  <c r="G710" i="2"/>
  <c r="BS709" i="2"/>
  <c r="BV709" i="2" s="1"/>
  <c r="BO709" i="2"/>
  <c r="BN709" i="2"/>
  <c r="BP709" i="2" s="1"/>
  <c r="Z709" i="2"/>
  <c r="X709" i="2"/>
  <c r="V709" i="2"/>
  <c r="BT709" i="2" s="1"/>
  <c r="T709" i="2"/>
  <c r="S709" i="2"/>
  <c r="R709" i="2"/>
  <c r="Q709" i="2"/>
  <c r="W709" i="2" s="1"/>
  <c r="BR709" i="2" s="1"/>
  <c r="P709" i="2"/>
  <c r="Y709" i="2" s="1"/>
  <c r="O709" i="2"/>
  <c r="U709" i="2" s="1"/>
  <c r="BQ709" i="2" s="1"/>
  <c r="G709" i="2"/>
  <c r="I709" i="2" s="1"/>
  <c r="Y708" i="2"/>
  <c r="W708" i="2"/>
  <c r="BR708" i="2" s="1"/>
  <c r="T708" i="2"/>
  <c r="S708" i="2"/>
  <c r="V708" i="2" s="1"/>
  <c r="BT708" i="2" s="1"/>
  <c r="BT707" i="2" s="1"/>
  <c r="R708" i="2"/>
  <c r="Q708" i="2"/>
  <c r="Z708" i="2" s="1"/>
  <c r="P708" i="2"/>
  <c r="O708" i="2"/>
  <c r="J708" i="2"/>
  <c r="I708" i="2"/>
  <c r="G708" i="2"/>
  <c r="BM707" i="2"/>
  <c r="BL707" i="2"/>
  <c r="BK707" i="2"/>
  <c r="BJ707" i="2"/>
  <c r="BI707" i="2"/>
  <c r="BH707" i="2"/>
  <c r="BG707" i="2"/>
  <c r="BF707" i="2"/>
  <c r="BE707" i="2"/>
  <c r="BD707" i="2"/>
  <c r="BC707" i="2"/>
  <c r="BB707" i="2"/>
  <c r="BA707" i="2"/>
  <c r="AZ707" i="2"/>
  <c r="AY707" i="2"/>
  <c r="AX707" i="2"/>
  <c r="AW707" i="2"/>
  <c r="AV707" i="2"/>
  <c r="AU707" i="2"/>
  <c r="AT707" i="2"/>
  <c r="AS707" i="2"/>
  <c r="AR707" i="2"/>
  <c r="AQ707" i="2"/>
  <c r="AP707" i="2"/>
  <c r="AO707" i="2"/>
  <c r="AN707" i="2"/>
  <c r="AM707" i="2"/>
  <c r="AL707" i="2"/>
  <c r="AK707" i="2"/>
  <c r="AJ707" i="2"/>
  <c r="AI707" i="2"/>
  <c r="AH707" i="2"/>
  <c r="AG707" i="2"/>
  <c r="AF707" i="2"/>
  <c r="AE707" i="2"/>
  <c r="AD707" i="2"/>
  <c r="AC707" i="2"/>
  <c r="AB707" i="2"/>
  <c r="AA707" i="2"/>
  <c r="T707" i="2"/>
  <c r="S707" i="2"/>
  <c r="N707" i="2"/>
  <c r="M707" i="2"/>
  <c r="L707" i="2"/>
  <c r="K707" i="2"/>
  <c r="H707" i="2"/>
  <c r="F707" i="2"/>
  <c r="E707" i="2"/>
  <c r="BO705" i="2"/>
  <c r="BO704" i="2" s="1"/>
  <c r="BN705" i="2"/>
  <c r="Y705" i="2"/>
  <c r="T705" i="2"/>
  <c r="S705" i="2"/>
  <c r="R705" i="2"/>
  <c r="Q705" i="2"/>
  <c r="Z705" i="2" s="1"/>
  <c r="P705" i="2"/>
  <c r="P704" i="2" s="1"/>
  <c r="O705" i="2"/>
  <c r="X705" i="2" s="1"/>
  <c r="J705" i="2"/>
  <c r="I705" i="2"/>
  <c r="G705" i="2"/>
  <c r="BM704" i="2"/>
  <c r="BL704" i="2"/>
  <c r="BK704" i="2"/>
  <c r="BJ704" i="2"/>
  <c r="BI704" i="2"/>
  <c r="BH704" i="2"/>
  <c r="BG704" i="2"/>
  <c r="BF704" i="2"/>
  <c r="BE704" i="2"/>
  <c r="BD704" i="2"/>
  <c r="BC704" i="2"/>
  <c r="BB704" i="2"/>
  <c r="BA704" i="2"/>
  <c r="AZ704" i="2"/>
  <c r="AY704" i="2"/>
  <c r="AX704" i="2"/>
  <c r="AW704" i="2"/>
  <c r="AV704" i="2"/>
  <c r="AU704" i="2"/>
  <c r="AT704" i="2"/>
  <c r="AS704" i="2"/>
  <c r="AR704" i="2"/>
  <c r="AQ704" i="2"/>
  <c r="AP704" i="2"/>
  <c r="AO704" i="2"/>
  <c r="AN704" i="2"/>
  <c r="AM704" i="2"/>
  <c r="AL704" i="2"/>
  <c r="AK704" i="2"/>
  <c r="AJ704" i="2"/>
  <c r="AI704" i="2"/>
  <c r="AH704" i="2"/>
  <c r="AG704" i="2"/>
  <c r="AF704" i="2"/>
  <c r="AE704" i="2"/>
  <c r="AD704" i="2"/>
  <c r="AC704" i="2"/>
  <c r="AB704" i="2"/>
  <c r="AA704" i="2"/>
  <c r="Y704" i="2"/>
  <c r="T704" i="2"/>
  <c r="R704" i="2"/>
  <c r="N704" i="2"/>
  <c r="M704" i="2"/>
  <c r="L704" i="2"/>
  <c r="K704" i="2"/>
  <c r="I704" i="2"/>
  <c r="H704" i="2"/>
  <c r="G704" i="2"/>
  <c r="J704" i="2" s="1"/>
  <c r="F704" i="2"/>
  <c r="E704" i="2"/>
  <c r="E689" i="2" s="1"/>
  <c r="BO703" i="2"/>
  <c r="BO702" i="2" s="1"/>
  <c r="BM703" i="2"/>
  <c r="BJ703" i="2"/>
  <c r="Y703" i="2"/>
  <c r="W703" i="2"/>
  <c r="T703" i="2"/>
  <c r="S703" i="2"/>
  <c r="V703" i="2" s="1"/>
  <c r="BT703" i="2" s="1"/>
  <c r="BT702" i="2" s="1"/>
  <c r="R703" i="2"/>
  <c r="Q703" i="2"/>
  <c r="Z703" i="2" s="1"/>
  <c r="P703" i="2"/>
  <c r="O703" i="2"/>
  <c r="BN703" i="2" s="1"/>
  <c r="N703" i="2"/>
  <c r="G703" i="2"/>
  <c r="BM702" i="2"/>
  <c r="BL702" i="2"/>
  <c r="BK702" i="2"/>
  <c r="BJ702" i="2"/>
  <c r="BI702" i="2"/>
  <c r="BI689" i="2" s="1"/>
  <c r="BH702" i="2"/>
  <c r="BG702" i="2"/>
  <c r="BF702" i="2"/>
  <c r="BE702" i="2"/>
  <c r="BD702" i="2"/>
  <c r="BC702" i="2"/>
  <c r="BB702" i="2"/>
  <c r="BA702" i="2"/>
  <c r="AZ702" i="2"/>
  <c r="AY702" i="2"/>
  <c r="AX702" i="2"/>
  <c r="AW702" i="2"/>
  <c r="AV702" i="2"/>
  <c r="AU702" i="2"/>
  <c r="AT702" i="2"/>
  <c r="AS702" i="2"/>
  <c r="AR702" i="2"/>
  <c r="AQ702" i="2"/>
  <c r="AP702" i="2"/>
  <c r="AO702" i="2"/>
  <c r="AN702" i="2"/>
  <c r="AM702" i="2"/>
  <c r="AL702" i="2"/>
  <c r="AK702" i="2"/>
  <c r="AJ702" i="2"/>
  <c r="AI702" i="2"/>
  <c r="AH702" i="2"/>
  <c r="AG702" i="2"/>
  <c r="AF702" i="2"/>
  <c r="AE702" i="2"/>
  <c r="AD702" i="2"/>
  <c r="AC702" i="2"/>
  <c r="AB702" i="2"/>
  <c r="AA702" i="2"/>
  <c r="Y702" i="2"/>
  <c r="V702" i="2"/>
  <c r="T702" i="2"/>
  <c r="S702" i="2"/>
  <c r="R702" i="2"/>
  <c r="P702" i="2"/>
  <c r="N702" i="2"/>
  <c r="M702" i="2"/>
  <c r="L702" i="2"/>
  <c r="K702" i="2"/>
  <c r="H702" i="2"/>
  <c r="F702" i="2"/>
  <c r="E702" i="2"/>
  <c r="BT701" i="2"/>
  <c r="BJ701" i="2"/>
  <c r="V701" i="2"/>
  <c r="T701" i="2"/>
  <c r="S701" i="2"/>
  <c r="R701" i="2"/>
  <c r="Q701" i="2"/>
  <c r="Z701" i="2" s="1"/>
  <c r="P701" i="2"/>
  <c r="Y701" i="2" s="1"/>
  <c r="O701" i="2"/>
  <c r="X701" i="2" s="1"/>
  <c r="J701" i="2"/>
  <c r="I701" i="2"/>
  <c r="G701" i="2"/>
  <c r="BG700" i="2"/>
  <c r="BG690" i="2" s="1"/>
  <c r="BG689" i="2" s="1"/>
  <c r="BG661" i="2" s="1"/>
  <c r="Y700" i="2"/>
  <c r="X700" i="2"/>
  <c r="T700" i="2"/>
  <c r="S700" i="2"/>
  <c r="V700" i="2" s="1"/>
  <c r="BT700" i="2" s="1"/>
  <c r="R700" i="2"/>
  <c r="Q700" i="2"/>
  <c r="P700" i="2"/>
  <c r="O700" i="2"/>
  <c r="U700" i="2" s="1"/>
  <c r="BQ700" i="2" s="1"/>
  <c r="G700" i="2"/>
  <c r="J700" i="2" s="1"/>
  <c r="BO699" i="2"/>
  <c r="Z699" i="2"/>
  <c r="Y699" i="2"/>
  <c r="X699" i="2"/>
  <c r="T699" i="2"/>
  <c r="S699" i="2"/>
  <c r="V699" i="2" s="1"/>
  <c r="BT699" i="2" s="1"/>
  <c r="R699" i="2"/>
  <c r="Q699" i="2"/>
  <c r="W699" i="2" s="1"/>
  <c r="BR699" i="2" s="1"/>
  <c r="P699" i="2"/>
  <c r="O699" i="2"/>
  <c r="BN699" i="2" s="1"/>
  <c r="BP699" i="2" s="1"/>
  <c r="J699" i="2"/>
  <c r="I699" i="2"/>
  <c r="G699" i="2"/>
  <c r="BR698" i="2"/>
  <c r="Z698" i="2"/>
  <c r="Y698" i="2"/>
  <c r="T698" i="2"/>
  <c r="S698" i="2"/>
  <c r="R698" i="2"/>
  <c r="Q698" i="2"/>
  <c r="W698" i="2" s="1"/>
  <c r="P698" i="2"/>
  <c r="O698" i="2"/>
  <c r="X698" i="2" s="1"/>
  <c r="J698" i="2"/>
  <c r="I698" i="2"/>
  <c r="G698" i="2"/>
  <c r="BO697" i="2"/>
  <c r="BN697" i="2"/>
  <c r="BP697" i="2" s="1"/>
  <c r="Z697" i="2"/>
  <c r="V697" i="2"/>
  <c r="BT697" i="2" s="1"/>
  <c r="T697" i="2"/>
  <c r="S697" i="2"/>
  <c r="R697" i="2"/>
  <c r="Q697" i="2"/>
  <c r="W697" i="2" s="1"/>
  <c r="BR697" i="2" s="1"/>
  <c r="P697" i="2"/>
  <c r="Y697" i="2" s="1"/>
  <c r="O697" i="2"/>
  <c r="X697" i="2" s="1"/>
  <c r="J697" i="2"/>
  <c r="G697" i="2"/>
  <c r="I697" i="2" s="1"/>
  <c r="BT696" i="2"/>
  <c r="BN696" i="2"/>
  <c r="V696" i="2"/>
  <c r="T696" i="2"/>
  <c r="S696" i="2"/>
  <c r="R696" i="2"/>
  <c r="Q696" i="2"/>
  <c r="P696" i="2"/>
  <c r="Y696" i="2" s="1"/>
  <c r="O696" i="2"/>
  <c r="X696" i="2" s="1"/>
  <c r="J696" i="2"/>
  <c r="I696" i="2"/>
  <c r="G696" i="2"/>
  <c r="X695" i="2"/>
  <c r="V695" i="2"/>
  <c r="BT695" i="2" s="1"/>
  <c r="T695" i="2"/>
  <c r="S695" i="2"/>
  <c r="R695" i="2"/>
  <c r="Q695" i="2"/>
  <c r="P695" i="2"/>
  <c r="Y695" i="2" s="1"/>
  <c r="O695" i="2"/>
  <c r="BN695" i="2" s="1"/>
  <c r="G695" i="2"/>
  <c r="BR694" i="2"/>
  <c r="Y694" i="2"/>
  <c r="X694" i="2"/>
  <c r="W694" i="2"/>
  <c r="T694" i="2"/>
  <c r="S694" i="2"/>
  <c r="V694" i="2" s="1"/>
  <c r="BT694" i="2" s="1"/>
  <c r="R694" i="2"/>
  <c r="Q694" i="2"/>
  <c r="P694" i="2"/>
  <c r="O694" i="2"/>
  <c r="BN694" i="2" s="1"/>
  <c r="I694" i="2"/>
  <c r="G694" i="2"/>
  <c r="J694" i="2" s="1"/>
  <c r="BR693" i="2"/>
  <c r="BO693" i="2"/>
  <c r="Z693" i="2"/>
  <c r="Y693" i="2"/>
  <c r="X693" i="2"/>
  <c r="T693" i="2"/>
  <c r="S693" i="2"/>
  <c r="V693" i="2" s="1"/>
  <c r="BT693" i="2" s="1"/>
  <c r="R693" i="2"/>
  <c r="R690" i="2" s="1"/>
  <c r="Q693" i="2"/>
  <c r="W693" i="2" s="1"/>
  <c r="P693" i="2"/>
  <c r="O693" i="2"/>
  <c r="BN693" i="2" s="1"/>
  <c r="BP693" i="2" s="1"/>
  <c r="BU693" i="2" s="1"/>
  <c r="G693" i="2"/>
  <c r="BT692" i="2"/>
  <c r="BN692" i="2"/>
  <c r="Z692" i="2"/>
  <c r="Y692" i="2"/>
  <c r="T692" i="2"/>
  <c r="S692" i="2"/>
  <c r="V692" i="2" s="1"/>
  <c r="R692" i="2"/>
  <c r="Q692" i="2"/>
  <c r="W692" i="2" s="1"/>
  <c r="BR692" i="2" s="1"/>
  <c r="P692" i="2"/>
  <c r="O692" i="2"/>
  <c r="X692" i="2" s="1"/>
  <c r="J692" i="2"/>
  <c r="I692" i="2"/>
  <c r="G692" i="2"/>
  <c r="BT691" i="2"/>
  <c r="BO691" i="2"/>
  <c r="Z691" i="2"/>
  <c r="V691" i="2"/>
  <c r="T691" i="2"/>
  <c r="T690" i="2" s="1"/>
  <c r="T689" i="2" s="1"/>
  <c r="S691" i="2"/>
  <c r="R691" i="2"/>
  <c r="Q691" i="2"/>
  <c r="W691" i="2" s="1"/>
  <c r="P691" i="2"/>
  <c r="Y691" i="2" s="1"/>
  <c r="O691" i="2"/>
  <c r="J691" i="2"/>
  <c r="G691" i="2"/>
  <c r="I691" i="2" s="1"/>
  <c r="BM690" i="2"/>
  <c r="BL690" i="2"/>
  <c r="BL689" i="2" s="1"/>
  <c r="BK690" i="2"/>
  <c r="BJ690" i="2"/>
  <c r="BJ689" i="2" s="1"/>
  <c r="BI690" i="2"/>
  <c r="BH690" i="2"/>
  <c r="BF690" i="2"/>
  <c r="BF689" i="2" s="1"/>
  <c r="BE690" i="2"/>
  <c r="BD690" i="2"/>
  <c r="BC690" i="2"/>
  <c r="BC689" i="2" s="1"/>
  <c r="BB690" i="2"/>
  <c r="BA690" i="2"/>
  <c r="AZ690" i="2"/>
  <c r="AZ689" i="2" s="1"/>
  <c r="AY690" i="2"/>
  <c r="AX690" i="2"/>
  <c r="AW690" i="2"/>
  <c r="AW689" i="2" s="1"/>
  <c r="AV690" i="2"/>
  <c r="AU690" i="2"/>
  <c r="AT690" i="2"/>
  <c r="AT689" i="2" s="1"/>
  <c r="AS690" i="2"/>
  <c r="AR690" i="2"/>
  <c r="AQ690" i="2"/>
  <c r="AQ689" i="2" s="1"/>
  <c r="AP690" i="2"/>
  <c r="AO690" i="2"/>
  <c r="AN690" i="2"/>
  <c r="AN689" i="2" s="1"/>
  <c r="AM690" i="2"/>
  <c r="AL690" i="2"/>
  <c r="AK690" i="2"/>
  <c r="AK689" i="2" s="1"/>
  <c r="AJ690" i="2"/>
  <c r="AI690" i="2"/>
  <c r="AH690" i="2"/>
  <c r="AH689" i="2" s="1"/>
  <c r="AG690" i="2"/>
  <c r="AF690" i="2"/>
  <c r="AE690" i="2"/>
  <c r="AE689" i="2" s="1"/>
  <c r="AD690" i="2"/>
  <c r="AC690" i="2"/>
  <c r="AB690" i="2"/>
  <c r="AB689" i="2" s="1"/>
  <c r="AA690" i="2"/>
  <c r="P690" i="2"/>
  <c r="P689" i="2" s="1"/>
  <c r="Y689" i="2" s="1"/>
  <c r="N690" i="2"/>
  <c r="N689" i="2" s="1"/>
  <c r="M690" i="2"/>
  <c r="M689" i="2" s="1"/>
  <c r="M661" i="2" s="1"/>
  <c r="L690" i="2"/>
  <c r="K690" i="2"/>
  <c r="H690" i="2"/>
  <c r="H689" i="2" s="1"/>
  <c r="F690" i="2"/>
  <c r="E690" i="2"/>
  <c r="BM689" i="2"/>
  <c r="BK689" i="2"/>
  <c r="BH689" i="2"/>
  <c r="BE689" i="2"/>
  <c r="BB689" i="2"/>
  <c r="BA689" i="2"/>
  <c r="AY689" i="2"/>
  <c r="AV689" i="2"/>
  <c r="AU689" i="2"/>
  <c r="AS689" i="2"/>
  <c r="AP689" i="2"/>
  <c r="AO689" i="2"/>
  <c r="AM689" i="2"/>
  <c r="AJ689" i="2"/>
  <c r="AI689" i="2"/>
  <c r="AG689" i="2"/>
  <c r="AD689" i="2"/>
  <c r="AC689" i="2"/>
  <c r="AA689" i="2"/>
  <c r="R689" i="2"/>
  <c r="L689" i="2"/>
  <c r="K689" i="2"/>
  <c r="F689" i="2"/>
  <c r="BT688" i="2"/>
  <c r="Y688" i="2"/>
  <c r="W688" i="2"/>
  <c r="BR688" i="2" s="1"/>
  <c r="T688" i="2"/>
  <c r="S688" i="2"/>
  <c r="V688" i="2" s="1"/>
  <c r="R688" i="2"/>
  <c r="Q688" i="2"/>
  <c r="BO688" i="2" s="1"/>
  <c r="P688" i="2"/>
  <c r="O688" i="2"/>
  <c r="X688" i="2" s="1"/>
  <c r="J688" i="2"/>
  <c r="I688" i="2"/>
  <c r="G688" i="2"/>
  <c r="BU687" i="2"/>
  <c r="BO687" i="2"/>
  <c r="BN687" i="2"/>
  <c r="BP687" i="2" s="1"/>
  <c r="BW687" i="2" s="1"/>
  <c r="Z687" i="2"/>
  <c r="X687" i="2"/>
  <c r="V687" i="2"/>
  <c r="BT687" i="2" s="1"/>
  <c r="T687" i="2"/>
  <c r="T685" i="2" s="1"/>
  <c r="S687" i="2"/>
  <c r="R687" i="2"/>
  <c r="R685" i="2" s="1"/>
  <c r="Q687" i="2"/>
  <c r="W687" i="2" s="1"/>
  <c r="BR687" i="2" s="1"/>
  <c r="P687" i="2"/>
  <c r="Y687" i="2" s="1"/>
  <c r="O687" i="2"/>
  <c r="U687" i="2" s="1"/>
  <c r="BQ687" i="2" s="1"/>
  <c r="BS687" i="2" s="1"/>
  <c r="BV687" i="2" s="1"/>
  <c r="G687" i="2"/>
  <c r="I687" i="2" s="1"/>
  <c r="BO686" i="2"/>
  <c r="BO685" i="2" s="1"/>
  <c r="BN686" i="2"/>
  <c r="Y686" i="2"/>
  <c r="T686" i="2"/>
  <c r="S686" i="2"/>
  <c r="R686" i="2"/>
  <c r="Q686" i="2"/>
  <c r="Z686" i="2" s="1"/>
  <c r="P686" i="2"/>
  <c r="O686" i="2"/>
  <c r="X686" i="2" s="1"/>
  <c r="I686" i="2"/>
  <c r="G686" i="2"/>
  <c r="J686" i="2" s="1"/>
  <c r="BM685" i="2"/>
  <c r="BL685" i="2"/>
  <c r="BK685" i="2"/>
  <c r="BJ685" i="2"/>
  <c r="BI685" i="2"/>
  <c r="BH685" i="2"/>
  <c r="BG685" i="2"/>
  <c r="BF685" i="2"/>
  <c r="BE685" i="2"/>
  <c r="BD685" i="2"/>
  <c r="BC685" i="2"/>
  <c r="BB685" i="2"/>
  <c r="BA685" i="2"/>
  <c r="AZ685" i="2"/>
  <c r="AY685" i="2"/>
  <c r="AX685" i="2"/>
  <c r="AW685" i="2"/>
  <c r="AV685" i="2"/>
  <c r="AU685" i="2"/>
  <c r="AT685" i="2"/>
  <c r="AS685" i="2"/>
  <c r="AR685" i="2"/>
  <c r="AQ685" i="2"/>
  <c r="AP685" i="2"/>
  <c r="AO685" i="2"/>
  <c r="AN685" i="2"/>
  <c r="AM685" i="2"/>
  <c r="AL685" i="2"/>
  <c r="AK685" i="2"/>
  <c r="AJ685" i="2"/>
  <c r="AI685" i="2"/>
  <c r="AH685" i="2"/>
  <c r="AG685" i="2"/>
  <c r="AF685" i="2"/>
  <c r="AE685" i="2"/>
  <c r="AD685" i="2"/>
  <c r="AC685" i="2"/>
  <c r="AB685" i="2"/>
  <c r="AA685" i="2"/>
  <c r="Q685" i="2"/>
  <c r="Z685" i="2" s="1"/>
  <c r="O685" i="2"/>
  <c r="X685" i="2" s="1"/>
  <c r="N685" i="2"/>
  <c r="M685" i="2"/>
  <c r="L685" i="2"/>
  <c r="K685" i="2"/>
  <c r="H685" i="2"/>
  <c r="F685" i="2"/>
  <c r="E685" i="2"/>
  <c r="BN684" i="2"/>
  <c r="Y684" i="2"/>
  <c r="T684" i="2"/>
  <c r="S684" i="2"/>
  <c r="V684" i="2" s="1"/>
  <c r="BT684" i="2" s="1"/>
  <c r="R684" i="2"/>
  <c r="Q684" i="2"/>
  <c r="P684" i="2"/>
  <c r="O684" i="2"/>
  <c r="X684" i="2" s="1"/>
  <c r="I684" i="2"/>
  <c r="G684" i="2"/>
  <c r="J684" i="2" s="1"/>
  <c r="BO683" i="2"/>
  <c r="BP683" i="2" s="1"/>
  <c r="Z683" i="2"/>
  <c r="X683" i="2"/>
  <c r="W683" i="2"/>
  <c r="BR683" i="2" s="1"/>
  <c r="V683" i="2"/>
  <c r="BT683" i="2" s="1"/>
  <c r="T683" i="2"/>
  <c r="S683" i="2"/>
  <c r="R683" i="2"/>
  <c r="R670" i="2" s="1"/>
  <c r="Q683" i="2"/>
  <c r="P683" i="2"/>
  <c r="Y683" i="2" s="1"/>
  <c r="O683" i="2"/>
  <c r="BN683" i="2" s="1"/>
  <c r="G683" i="2"/>
  <c r="I683" i="2" s="1"/>
  <c r="BN682" i="2"/>
  <c r="Y682" i="2"/>
  <c r="T682" i="2"/>
  <c r="S682" i="2"/>
  <c r="V682" i="2" s="1"/>
  <c r="BT682" i="2" s="1"/>
  <c r="R682" i="2"/>
  <c r="Q682" i="2"/>
  <c r="W682" i="2" s="1"/>
  <c r="BR682" i="2" s="1"/>
  <c r="P682" i="2"/>
  <c r="O682" i="2"/>
  <c r="X682" i="2" s="1"/>
  <c r="G682" i="2"/>
  <c r="BR681" i="2"/>
  <c r="BO681" i="2"/>
  <c r="Z681" i="2"/>
  <c r="Y681" i="2"/>
  <c r="X681" i="2"/>
  <c r="T681" i="2"/>
  <c r="S681" i="2"/>
  <c r="V681" i="2" s="1"/>
  <c r="BT681" i="2" s="1"/>
  <c r="R681" i="2"/>
  <c r="Q681" i="2"/>
  <c r="W681" i="2" s="1"/>
  <c r="P681" i="2"/>
  <c r="O681" i="2"/>
  <c r="BN681" i="2" s="1"/>
  <c r="J681" i="2"/>
  <c r="I681" i="2"/>
  <c r="G681" i="2"/>
  <c r="BR680" i="2"/>
  <c r="Z680" i="2"/>
  <c r="Y680" i="2"/>
  <c r="W680" i="2"/>
  <c r="T680" i="2"/>
  <c r="S680" i="2"/>
  <c r="V680" i="2" s="1"/>
  <c r="BT680" i="2" s="1"/>
  <c r="R680" i="2"/>
  <c r="Q680" i="2"/>
  <c r="BO680" i="2" s="1"/>
  <c r="P680" i="2"/>
  <c r="O680" i="2"/>
  <c r="X680" i="2" s="1"/>
  <c r="J680" i="2"/>
  <c r="I680" i="2"/>
  <c r="G680" i="2"/>
  <c r="BO679" i="2"/>
  <c r="Z679" i="2"/>
  <c r="X679" i="2"/>
  <c r="V679" i="2"/>
  <c r="BT679" i="2" s="1"/>
  <c r="T679" i="2"/>
  <c r="S679" i="2"/>
  <c r="R679" i="2"/>
  <c r="Q679" i="2"/>
  <c r="W679" i="2" s="1"/>
  <c r="BR679" i="2" s="1"/>
  <c r="P679" i="2"/>
  <c r="O679" i="2"/>
  <c r="BN679" i="2" s="1"/>
  <c r="BP679" i="2" s="1"/>
  <c r="J679" i="2"/>
  <c r="G679" i="2"/>
  <c r="I679" i="2" s="1"/>
  <c r="BT678" i="2"/>
  <c r="BN678" i="2"/>
  <c r="Y678" i="2"/>
  <c r="W678" i="2"/>
  <c r="BR678" i="2" s="1"/>
  <c r="T678" i="2"/>
  <c r="S678" i="2"/>
  <c r="V678" i="2" s="1"/>
  <c r="R678" i="2"/>
  <c r="Q678" i="2"/>
  <c r="P678" i="2"/>
  <c r="O678" i="2"/>
  <c r="X678" i="2" s="1"/>
  <c r="J678" i="2"/>
  <c r="I678" i="2"/>
  <c r="G678" i="2"/>
  <c r="BO677" i="2"/>
  <c r="BP677" i="2" s="1"/>
  <c r="BU677" i="2" s="1"/>
  <c r="X677" i="2"/>
  <c r="V677" i="2"/>
  <c r="BT677" i="2" s="1"/>
  <c r="T677" i="2"/>
  <c r="S677" i="2"/>
  <c r="R677" i="2"/>
  <c r="Q677" i="2"/>
  <c r="W677" i="2" s="1"/>
  <c r="BR677" i="2" s="1"/>
  <c r="P677" i="2"/>
  <c r="Y677" i="2" s="1"/>
  <c r="O677" i="2"/>
  <c r="BN677" i="2" s="1"/>
  <c r="G677" i="2"/>
  <c r="Y676" i="2"/>
  <c r="W676" i="2"/>
  <c r="BR676" i="2" s="1"/>
  <c r="T676" i="2"/>
  <c r="S676" i="2"/>
  <c r="V676" i="2" s="1"/>
  <c r="BT676" i="2" s="1"/>
  <c r="R676" i="2"/>
  <c r="Q676" i="2"/>
  <c r="P676" i="2"/>
  <c r="O676" i="2"/>
  <c r="X676" i="2" s="1"/>
  <c r="I676" i="2"/>
  <c r="G676" i="2"/>
  <c r="J676" i="2" s="1"/>
  <c r="BR675" i="2"/>
  <c r="BO675" i="2"/>
  <c r="Z675" i="2"/>
  <c r="X675" i="2"/>
  <c r="V675" i="2"/>
  <c r="BT675" i="2" s="1"/>
  <c r="T675" i="2"/>
  <c r="S675" i="2"/>
  <c r="R675" i="2"/>
  <c r="Q675" i="2"/>
  <c r="W675" i="2" s="1"/>
  <c r="P675" i="2"/>
  <c r="Y675" i="2" s="1"/>
  <c r="O675" i="2"/>
  <c r="BN675" i="2" s="1"/>
  <c r="BP675" i="2" s="1"/>
  <c r="J675" i="2"/>
  <c r="G675" i="2"/>
  <c r="I675" i="2" s="1"/>
  <c r="BT674" i="2"/>
  <c r="BR674" i="2"/>
  <c r="Y674" i="2"/>
  <c r="W674" i="2"/>
  <c r="T674" i="2"/>
  <c r="S674" i="2"/>
  <c r="V674" i="2" s="1"/>
  <c r="R674" i="2"/>
  <c r="Q674" i="2"/>
  <c r="BO674" i="2" s="1"/>
  <c r="P674" i="2"/>
  <c r="O674" i="2"/>
  <c r="J674" i="2"/>
  <c r="I674" i="2"/>
  <c r="G674" i="2"/>
  <c r="BU673" i="2"/>
  <c r="BT673" i="2"/>
  <c r="BO673" i="2"/>
  <c r="BN673" i="2"/>
  <c r="BP673" i="2" s="1"/>
  <c r="Z673" i="2"/>
  <c r="X673" i="2"/>
  <c r="V673" i="2"/>
  <c r="T673" i="2"/>
  <c r="S673" i="2"/>
  <c r="R673" i="2"/>
  <c r="Q673" i="2"/>
  <c r="W673" i="2" s="1"/>
  <c r="BR673" i="2" s="1"/>
  <c r="P673" i="2"/>
  <c r="Y673" i="2" s="1"/>
  <c r="O673" i="2"/>
  <c r="U673" i="2" s="1"/>
  <c r="BQ673" i="2" s="1"/>
  <c r="BS673" i="2" s="1"/>
  <c r="BV673" i="2" s="1"/>
  <c r="G673" i="2"/>
  <c r="I673" i="2" s="1"/>
  <c r="BO672" i="2"/>
  <c r="BN672" i="2"/>
  <c r="BP672" i="2" s="1"/>
  <c r="Y672" i="2"/>
  <c r="T672" i="2"/>
  <c r="S672" i="2"/>
  <c r="R672" i="2"/>
  <c r="Q672" i="2"/>
  <c r="Z672" i="2" s="1"/>
  <c r="P672" i="2"/>
  <c r="O672" i="2"/>
  <c r="X672" i="2" s="1"/>
  <c r="I672" i="2"/>
  <c r="G672" i="2"/>
  <c r="J672" i="2" s="1"/>
  <c r="BO671" i="2"/>
  <c r="X671" i="2"/>
  <c r="V671" i="2"/>
  <c r="BT671" i="2" s="1"/>
  <c r="T671" i="2"/>
  <c r="T670" i="2" s="1"/>
  <c r="S671" i="2"/>
  <c r="R671" i="2"/>
  <c r="Q671" i="2"/>
  <c r="W671" i="2" s="1"/>
  <c r="P671" i="2"/>
  <c r="Y671" i="2" s="1"/>
  <c r="O671" i="2"/>
  <c r="BN671" i="2" s="1"/>
  <c r="G671" i="2"/>
  <c r="BM670" i="2"/>
  <c r="BL670" i="2"/>
  <c r="BK670" i="2"/>
  <c r="BJ670" i="2"/>
  <c r="BI670" i="2"/>
  <c r="BH670" i="2"/>
  <c r="BG670" i="2"/>
  <c r="BF670" i="2"/>
  <c r="BE670" i="2"/>
  <c r="BD670" i="2"/>
  <c r="BC670" i="2"/>
  <c r="BB670" i="2"/>
  <c r="BA670" i="2"/>
  <c r="AZ670" i="2"/>
  <c r="AY670" i="2"/>
  <c r="AX670" i="2"/>
  <c r="AW670" i="2"/>
  <c r="AV670" i="2"/>
  <c r="AU670" i="2"/>
  <c r="AT670" i="2"/>
  <c r="AS670" i="2"/>
  <c r="AR670" i="2"/>
  <c r="AQ670" i="2"/>
  <c r="AP670" i="2"/>
  <c r="AO670" i="2"/>
  <c r="AN670" i="2"/>
  <c r="AM670" i="2"/>
  <c r="AL670" i="2"/>
  <c r="AK670" i="2"/>
  <c r="AJ670" i="2"/>
  <c r="AI670" i="2"/>
  <c r="AH670" i="2"/>
  <c r="AG670" i="2"/>
  <c r="AF670" i="2"/>
  <c r="AE670" i="2"/>
  <c r="AD670" i="2"/>
  <c r="AC670" i="2"/>
  <c r="AB670" i="2"/>
  <c r="AA670" i="2"/>
  <c r="O670" i="2"/>
  <c r="X670" i="2" s="1"/>
  <c r="N670" i="2"/>
  <c r="M670" i="2"/>
  <c r="L670" i="2"/>
  <c r="K670" i="2"/>
  <c r="H670" i="2"/>
  <c r="F670" i="2"/>
  <c r="E670" i="2"/>
  <c r="X669" i="2"/>
  <c r="V669" i="2"/>
  <c r="BT669" i="2" s="1"/>
  <c r="T669" i="2"/>
  <c r="S669" i="2"/>
  <c r="R669" i="2"/>
  <c r="Q669" i="2"/>
  <c r="P669" i="2"/>
  <c r="Y669" i="2" s="1"/>
  <c r="O669" i="2"/>
  <c r="BN669" i="2" s="1"/>
  <c r="G669" i="2"/>
  <c r="I669" i="2" s="1"/>
  <c r="BN668" i="2"/>
  <c r="Y668" i="2"/>
  <c r="X668" i="2"/>
  <c r="W668" i="2"/>
  <c r="BR668" i="2" s="1"/>
  <c r="T668" i="2"/>
  <c r="S668" i="2"/>
  <c r="R668" i="2"/>
  <c r="R667" i="2" s="1"/>
  <c r="Q668" i="2"/>
  <c r="P668" i="2"/>
  <c r="O668" i="2"/>
  <c r="U668" i="2" s="1"/>
  <c r="BQ668" i="2" s="1"/>
  <c r="BS668" i="2" s="1"/>
  <c r="G668" i="2"/>
  <c r="BM667" i="2"/>
  <c r="BL667" i="2"/>
  <c r="BK667" i="2"/>
  <c r="BJ667" i="2"/>
  <c r="BI667" i="2"/>
  <c r="BH667" i="2"/>
  <c r="BG667" i="2"/>
  <c r="BF667" i="2"/>
  <c r="BE667" i="2"/>
  <c r="BD667" i="2"/>
  <c r="BC667" i="2"/>
  <c r="BB667" i="2"/>
  <c r="BA667" i="2"/>
  <c r="AZ667" i="2"/>
  <c r="AY667" i="2"/>
  <c r="AX667" i="2"/>
  <c r="AW667" i="2"/>
  <c r="AV667" i="2"/>
  <c r="AU667" i="2"/>
  <c r="AT667" i="2"/>
  <c r="AS667" i="2"/>
  <c r="AR667" i="2"/>
  <c r="AQ667" i="2"/>
  <c r="AP667" i="2"/>
  <c r="AO667" i="2"/>
  <c r="AN667" i="2"/>
  <c r="AM667" i="2"/>
  <c r="AL667" i="2"/>
  <c r="AK667" i="2"/>
  <c r="AJ667" i="2"/>
  <c r="AI667" i="2"/>
  <c r="AH667" i="2"/>
  <c r="AG667" i="2"/>
  <c r="AF667" i="2"/>
  <c r="AE667" i="2"/>
  <c r="AD667" i="2"/>
  <c r="AC667" i="2"/>
  <c r="AB667" i="2"/>
  <c r="AA667" i="2"/>
  <c r="T667" i="2"/>
  <c r="P667" i="2"/>
  <c r="Y667" i="2" s="1"/>
  <c r="O667" i="2"/>
  <c r="X667" i="2" s="1"/>
  <c r="N667" i="2"/>
  <c r="M667" i="2"/>
  <c r="L667" i="2"/>
  <c r="K667" i="2"/>
  <c r="H667" i="2"/>
  <c r="F667" i="2"/>
  <c r="E667" i="2"/>
  <c r="Y666" i="2"/>
  <c r="X666" i="2"/>
  <c r="W666" i="2"/>
  <c r="BR666" i="2" s="1"/>
  <c r="BR665" i="2" s="1"/>
  <c r="T666" i="2"/>
  <c r="S666" i="2"/>
  <c r="S665" i="2" s="1"/>
  <c r="R666" i="2"/>
  <c r="R665" i="2" s="1"/>
  <c r="Q666" i="2"/>
  <c r="P666" i="2"/>
  <c r="O666" i="2"/>
  <c r="BN666" i="2" s="1"/>
  <c r="G666" i="2"/>
  <c r="BM665" i="2"/>
  <c r="BL665" i="2"/>
  <c r="BK665" i="2"/>
  <c r="BJ665" i="2"/>
  <c r="BI665" i="2"/>
  <c r="BH665" i="2"/>
  <c r="BG665" i="2"/>
  <c r="BF665" i="2"/>
  <c r="BE665" i="2"/>
  <c r="BE661" i="2" s="1"/>
  <c r="BD665" i="2"/>
  <c r="BC665" i="2"/>
  <c r="BB665" i="2"/>
  <c r="BA665" i="2"/>
  <c r="BA661" i="2" s="1"/>
  <c r="AZ665" i="2"/>
  <c r="AY665" i="2"/>
  <c r="AX665" i="2"/>
  <c r="AW665" i="2"/>
  <c r="AV665" i="2"/>
  <c r="AU665" i="2"/>
  <c r="AU661" i="2" s="1"/>
  <c r="AT665" i="2"/>
  <c r="AS665" i="2"/>
  <c r="AS661" i="2" s="1"/>
  <c r="AR665" i="2"/>
  <c r="AQ665" i="2"/>
  <c r="AP665" i="2"/>
  <c r="AO665" i="2"/>
  <c r="AO661" i="2" s="1"/>
  <c r="AN665" i="2"/>
  <c r="AM665" i="2"/>
  <c r="AL665" i="2"/>
  <c r="AK665" i="2"/>
  <c r="AJ665" i="2"/>
  <c r="AI665" i="2"/>
  <c r="AI661" i="2" s="1"/>
  <c r="AH665" i="2"/>
  <c r="AG665" i="2"/>
  <c r="AG661" i="2" s="1"/>
  <c r="AF665" i="2"/>
  <c r="AE665" i="2"/>
  <c r="AD665" i="2"/>
  <c r="AC665" i="2"/>
  <c r="AC661" i="2" s="1"/>
  <c r="AB665" i="2"/>
  <c r="AA665" i="2"/>
  <c r="W665" i="2"/>
  <c r="T665" i="2"/>
  <c r="Q665" i="2"/>
  <c r="Z665" i="2" s="1"/>
  <c r="P665" i="2"/>
  <c r="Y665" i="2" s="1"/>
  <c r="O665" i="2"/>
  <c r="X665" i="2" s="1"/>
  <c r="N665" i="2"/>
  <c r="M665" i="2"/>
  <c r="L665" i="2"/>
  <c r="K665" i="2"/>
  <c r="K661" i="2" s="1"/>
  <c r="H665" i="2"/>
  <c r="F665" i="2"/>
  <c r="E665" i="2"/>
  <c r="Y664" i="2"/>
  <c r="X664" i="2"/>
  <c r="T664" i="2"/>
  <c r="S664" i="2"/>
  <c r="V664" i="2" s="1"/>
  <c r="BT664" i="2" s="1"/>
  <c r="R664" i="2"/>
  <c r="Q664" i="2"/>
  <c r="Q662" i="2" s="1"/>
  <c r="P664" i="2"/>
  <c r="O664" i="2"/>
  <c r="BN664" i="2" s="1"/>
  <c r="I664" i="2"/>
  <c r="G664" i="2"/>
  <c r="J664" i="2" s="1"/>
  <c r="BR663" i="2"/>
  <c r="BO663" i="2"/>
  <c r="Z663" i="2"/>
  <c r="Y663" i="2"/>
  <c r="X663" i="2"/>
  <c r="T663" i="2"/>
  <c r="T662" i="2" s="1"/>
  <c r="T661" i="2" s="1"/>
  <c r="S663" i="2"/>
  <c r="R663" i="2"/>
  <c r="R662" i="2" s="1"/>
  <c r="R661" i="2" s="1"/>
  <c r="Q663" i="2"/>
  <c r="W663" i="2" s="1"/>
  <c r="P663" i="2"/>
  <c r="O663" i="2"/>
  <c r="BN663" i="2" s="1"/>
  <c r="BP663" i="2" s="1"/>
  <c r="G663" i="2"/>
  <c r="BM662" i="2"/>
  <c r="BL662" i="2"/>
  <c r="BK662" i="2"/>
  <c r="BJ662" i="2"/>
  <c r="BI662" i="2"/>
  <c r="BH662" i="2"/>
  <c r="BH661" i="2" s="1"/>
  <c r="BG662" i="2"/>
  <c r="BF662" i="2"/>
  <c r="BE662" i="2"/>
  <c r="BD662" i="2"/>
  <c r="BC662" i="2"/>
  <c r="BB662" i="2"/>
  <c r="BB661" i="2" s="1"/>
  <c r="BA662" i="2"/>
  <c r="AZ662" i="2"/>
  <c r="AY662" i="2"/>
  <c r="AX662" i="2"/>
  <c r="AW662" i="2"/>
  <c r="AV662" i="2"/>
  <c r="AV661" i="2" s="1"/>
  <c r="AU662" i="2"/>
  <c r="AT662" i="2"/>
  <c r="AT661" i="2" s="1"/>
  <c r="AS662" i="2"/>
  <c r="AR662" i="2"/>
  <c r="AQ662" i="2"/>
  <c r="AP662" i="2"/>
  <c r="AP661" i="2" s="1"/>
  <c r="AO662" i="2"/>
  <c r="AN662" i="2"/>
  <c r="AM662" i="2"/>
  <c r="AL662" i="2"/>
  <c r="AK662" i="2"/>
  <c r="AJ662" i="2"/>
  <c r="AJ661" i="2" s="1"/>
  <c r="AI662" i="2"/>
  <c r="AH662" i="2"/>
  <c r="AG662" i="2"/>
  <c r="AF662" i="2"/>
  <c r="AE662" i="2"/>
  <c r="AD662" i="2"/>
  <c r="AD661" i="2" s="1"/>
  <c r="AC662" i="2"/>
  <c r="AB662" i="2"/>
  <c r="AA662" i="2"/>
  <c r="P662" i="2"/>
  <c r="Y662" i="2" s="1"/>
  <c r="N662" i="2"/>
  <c r="N661" i="2" s="1"/>
  <c r="M662" i="2"/>
  <c r="L662" i="2"/>
  <c r="L661" i="2" s="1"/>
  <c r="K662" i="2"/>
  <c r="H662" i="2"/>
  <c r="F662" i="2"/>
  <c r="F661" i="2" s="1"/>
  <c r="E662" i="2"/>
  <c r="E661" i="2" s="1"/>
  <c r="BM661" i="2"/>
  <c r="BL661" i="2"/>
  <c r="BK661" i="2"/>
  <c r="BF661" i="2"/>
  <c r="AZ661" i="2"/>
  <c r="AY661" i="2"/>
  <c r="AN661" i="2"/>
  <c r="AM661" i="2"/>
  <c r="AH661" i="2"/>
  <c r="AB661" i="2"/>
  <c r="AA661" i="2"/>
  <c r="BN660" i="2"/>
  <c r="Y660" i="2"/>
  <c r="X660" i="2"/>
  <c r="W660" i="2"/>
  <c r="BR660" i="2" s="1"/>
  <c r="T660" i="2"/>
  <c r="S660" i="2"/>
  <c r="V660" i="2" s="1"/>
  <c r="BT660" i="2" s="1"/>
  <c r="R660" i="2"/>
  <c r="Q660" i="2"/>
  <c r="P660" i="2"/>
  <c r="O660" i="2"/>
  <c r="U660" i="2" s="1"/>
  <c r="BQ660" i="2" s="1"/>
  <c r="G660" i="2"/>
  <c r="BO659" i="2"/>
  <c r="Z659" i="2"/>
  <c r="X659" i="2"/>
  <c r="T659" i="2"/>
  <c r="S659" i="2"/>
  <c r="V659" i="2" s="1"/>
  <c r="BT659" i="2" s="1"/>
  <c r="R659" i="2"/>
  <c r="Q659" i="2"/>
  <c r="W659" i="2" s="1"/>
  <c r="BR659" i="2" s="1"/>
  <c r="P659" i="2"/>
  <c r="O659" i="2"/>
  <c r="BN659" i="2" s="1"/>
  <c r="I659" i="2"/>
  <c r="G659" i="2"/>
  <c r="J659" i="2" s="1"/>
  <c r="BN658" i="2"/>
  <c r="Y658" i="2"/>
  <c r="T658" i="2"/>
  <c r="T657" i="2" s="1"/>
  <c r="S658" i="2"/>
  <c r="R658" i="2"/>
  <c r="Q658" i="2"/>
  <c r="P658" i="2"/>
  <c r="O658" i="2"/>
  <c r="X658" i="2" s="1"/>
  <c r="J658" i="2"/>
  <c r="I658" i="2"/>
  <c r="G658" i="2"/>
  <c r="BM657" i="2"/>
  <c r="BL657" i="2"/>
  <c r="BK657" i="2"/>
  <c r="BJ657" i="2"/>
  <c r="BI657" i="2"/>
  <c r="BH657" i="2"/>
  <c r="BG657" i="2"/>
  <c r="BF657" i="2"/>
  <c r="BE657" i="2"/>
  <c r="BD657" i="2"/>
  <c r="BC657" i="2"/>
  <c r="BB657" i="2"/>
  <c r="BA657" i="2"/>
  <c r="AZ657" i="2"/>
  <c r="AY657" i="2"/>
  <c r="AX657" i="2"/>
  <c r="AW657" i="2"/>
  <c r="AV657" i="2"/>
  <c r="AU657" i="2"/>
  <c r="AT657" i="2"/>
  <c r="AS657" i="2"/>
  <c r="AR657" i="2"/>
  <c r="AQ657" i="2"/>
  <c r="AP657" i="2"/>
  <c r="AO657" i="2"/>
  <c r="AN657" i="2"/>
  <c r="AM657" i="2"/>
  <c r="AL657" i="2"/>
  <c r="AK657" i="2"/>
  <c r="AJ657" i="2"/>
  <c r="AI657" i="2"/>
  <c r="AH657" i="2"/>
  <c r="AG657" i="2"/>
  <c r="AF657" i="2"/>
  <c r="AE657" i="2"/>
  <c r="AD657" i="2"/>
  <c r="AC657" i="2"/>
  <c r="AB657" i="2"/>
  <c r="AA657" i="2"/>
  <c r="N657" i="2"/>
  <c r="M657" i="2"/>
  <c r="L657" i="2"/>
  <c r="K657" i="2"/>
  <c r="H657" i="2"/>
  <c r="G657" i="2"/>
  <c r="F657" i="2"/>
  <c r="E657" i="2"/>
  <c r="BT656" i="2"/>
  <c r="BT655" i="2" s="1"/>
  <c r="BE656" i="2"/>
  <c r="BE655" i="2" s="1"/>
  <c r="BB656" i="2"/>
  <c r="BB655" i="2" s="1"/>
  <c r="AY656" i="2"/>
  <c r="AV656" i="2"/>
  <c r="AV655" i="2" s="1"/>
  <c r="AS656" i="2"/>
  <c r="AM656" i="2"/>
  <c r="AM655" i="2" s="1"/>
  <c r="AJ656" i="2"/>
  <c r="Z656" i="2"/>
  <c r="V656" i="2"/>
  <c r="V655" i="2" s="1"/>
  <c r="T656" i="2"/>
  <c r="T655" i="2" s="1"/>
  <c r="S656" i="2"/>
  <c r="R656" i="2"/>
  <c r="R655" i="2" s="1"/>
  <c r="Q656" i="2"/>
  <c r="BO656" i="2" s="1"/>
  <c r="P656" i="2"/>
  <c r="K656" i="2"/>
  <c r="J656" i="2"/>
  <c r="I656" i="2"/>
  <c r="G656" i="2"/>
  <c r="BO655" i="2"/>
  <c r="BM655" i="2"/>
  <c r="BL655" i="2"/>
  <c r="BK655" i="2"/>
  <c r="BJ655" i="2"/>
  <c r="BI655" i="2"/>
  <c r="BH655" i="2"/>
  <c r="BG655" i="2"/>
  <c r="BF655" i="2"/>
  <c r="BD655" i="2"/>
  <c r="BC655" i="2"/>
  <c r="BA655" i="2"/>
  <c r="AZ655" i="2"/>
  <c r="AY655" i="2"/>
  <c r="AX655" i="2"/>
  <c r="AW655" i="2"/>
  <c r="AU655" i="2"/>
  <c r="AT655" i="2"/>
  <c r="AS655" i="2"/>
  <c r="AR655" i="2"/>
  <c r="AQ655" i="2"/>
  <c r="AP655" i="2"/>
  <c r="AO655" i="2"/>
  <c r="AN655" i="2"/>
  <c r="AL655" i="2"/>
  <c r="AK655" i="2"/>
  <c r="AI655" i="2"/>
  <c r="AH655" i="2"/>
  <c r="AG655" i="2"/>
  <c r="AF655" i="2"/>
  <c r="AE655" i="2"/>
  <c r="AD655" i="2"/>
  <c r="AC655" i="2"/>
  <c r="AB655" i="2"/>
  <c r="AA655" i="2"/>
  <c r="S655" i="2"/>
  <c r="Q655" i="2"/>
  <c r="Z655" i="2" s="1"/>
  <c r="N655" i="2"/>
  <c r="M655" i="2"/>
  <c r="L655" i="2"/>
  <c r="K655" i="2"/>
  <c r="H655" i="2"/>
  <c r="G655" i="2"/>
  <c r="F655" i="2"/>
  <c r="E655" i="2"/>
  <c r="BR654" i="2"/>
  <c r="BO654" i="2"/>
  <c r="BH654" i="2"/>
  <c r="BE654" i="2"/>
  <c r="BE648" i="2" s="1"/>
  <c r="BB654" i="2"/>
  <c r="AY654" i="2"/>
  <c r="AY648" i="2" s="1"/>
  <c r="AE654" i="2"/>
  <c r="AE648" i="2" s="1"/>
  <c r="Z654" i="2"/>
  <c r="V654" i="2"/>
  <c r="BT654" i="2" s="1"/>
  <c r="T654" i="2"/>
  <c r="S654" i="2"/>
  <c r="R654" i="2"/>
  <c r="Q654" i="2"/>
  <c r="W654" i="2" s="1"/>
  <c r="P654" i="2"/>
  <c r="Y654" i="2" s="1"/>
  <c r="O654" i="2"/>
  <c r="BN654" i="2" s="1"/>
  <c r="BP654" i="2" s="1"/>
  <c r="K654" i="2"/>
  <c r="I654" i="2" s="1"/>
  <c r="G654" i="2"/>
  <c r="BP653" i="2"/>
  <c r="BU653" i="2" s="1"/>
  <c r="Z653" i="2"/>
  <c r="W653" i="2"/>
  <c r="BR653" i="2" s="1"/>
  <c r="V653" i="2"/>
  <c r="BT653" i="2" s="1"/>
  <c r="T653" i="2"/>
  <c r="S653" i="2"/>
  <c r="R653" i="2"/>
  <c r="Q653" i="2"/>
  <c r="BO653" i="2" s="1"/>
  <c r="P653" i="2"/>
  <c r="O653" i="2"/>
  <c r="BN653" i="2" s="1"/>
  <c r="K653" i="2"/>
  <c r="U653" i="2" s="1"/>
  <c r="BQ653" i="2" s="1"/>
  <c r="BS653" i="2" s="1"/>
  <c r="BV653" i="2" s="1"/>
  <c r="G653" i="2"/>
  <c r="BR652" i="2"/>
  <c r="BO652" i="2"/>
  <c r="Z652" i="2"/>
  <c r="Y652" i="2"/>
  <c r="X652" i="2"/>
  <c r="T652" i="2"/>
  <c r="S652" i="2"/>
  <c r="V652" i="2" s="1"/>
  <c r="BT652" i="2" s="1"/>
  <c r="R652" i="2"/>
  <c r="Q652" i="2"/>
  <c r="W652" i="2" s="1"/>
  <c r="P652" i="2"/>
  <c r="O652" i="2"/>
  <c r="BN652" i="2" s="1"/>
  <c r="I652" i="2"/>
  <c r="G652" i="2"/>
  <c r="J652" i="2" s="1"/>
  <c r="BP651" i="2"/>
  <c r="BN651" i="2"/>
  <c r="Z651" i="2"/>
  <c r="Y651" i="2"/>
  <c r="W651" i="2"/>
  <c r="BR651" i="2" s="1"/>
  <c r="T651" i="2"/>
  <c r="T648" i="2" s="1"/>
  <c r="S651" i="2"/>
  <c r="V651" i="2" s="1"/>
  <c r="BT651" i="2" s="1"/>
  <c r="R651" i="2"/>
  <c r="Q651" i="2"/>
  <c r="BO651" i="2" s="1"/>
  <c r="P651" i="2"/>
  <c r="O651" i="2"/>
  <c r="X651" i="2" s="1"/>
  <c r="J651" i="2"/>
  <c r="I651" i="2"/>
  <c r="G651" i="2"/>
  <c r="BO650" i="2"/>
  <c r="BH650" i="2"/>
  <c r="BE650" i="2"/>
  <c r="AP650" i="2"/>
  <c r="Y650" i="2"/>
  <c r="T650" i="2"/>
  <c r="S650" i="2"/>
  <c r="V650" i="2" s="1"/>
  <c r="BT650" i="2" s="1"/>
  <c r="R650" i="2"/>
  <c r="R648" i="2" s="1"/>
  <c r="Q650" i="2"/>
  <c r="P650" i="2"/>
  <c r="G650" i="2"/>
  <c r="BO649" i="2"/>
  <c r="Z649" i="2"/>
  <c r="Y649" i="2"/>
  <c r="X649" i="2"/>
  <c r="V649" i="2"/>
  <c r="T649" i="2"/>
  <c r="S649" i="2"/>
  <c r="R649" i="2"/>
  <c r="Q649" i="2"/>
  <c r="W649" i="2" s="1"/>
  <c r="BR649" i="2" s="1"/>
  <c r="P649" i="2"/>
  <c r="O649" i="2"/>
  <c r="BN649" i="2" s="1"/>
  <c r="BP649" i="2" s="1"/>
  <c r="BU649" i="2" s="1"/>
  <c r="G649" i="2"/>
  <c r="I649" i="2" s="1"/>
  <c r="BM648" i="2"/>
  <c r="BL648" i="2"/>
  <c r="BK648" i="2"/>
  <c r="BJ648" i="2"/>
  <c r="BI648" i="2"/>
  <c r="BH648" i="2"/>
  <c r="BH576" i="2" s="1"/>
  <c r="BG648" i="2"/>
  <c r="BF648" i="2"/>
  <c r="BD648" i="2"/>
  <c r="BC648" i="2"/>
  <c r="BB648" i="2"/>
  <c r="BA648" i="2"/>
  <c r="AZ648" i="2"/>
  <c r="AX648" i="2"/>
  <c r="AW648" i="2"/>
  <c r="AV648" i="2"/>
  <c r="AU648" i="2"/>
  <c r="AT648" i="2"/>
  <c r="AS648" i="2"/>
  <c r="AR648" i="2"/>
  <c r="AQ648" i="2"/>
  <c r="AO648" i="2"/>
  <c r="AN648" i="2"/>
  <c r="AM648" i="2"/>
  <c r="AL648" i="2"/>
  <c r="AK648" i="2"/>
  <c r="AJ648" i="2"/>
  <c r="AI648" i="2"/>
  <c r="AH648" i="2"/>
  <c r="AG648" i="2"/>
  <c r="AF648" i="2"/>
  <c r="AD648" i="2"/>
  <c r="AC648" i="2"/>
  <c r="AB648" i="2"/>
  <c r="AA648" i="2"/>
  <c r="Z648" i="2"/>
  <c r="Q648" i="2"/>
  <c r="N648" i="2"/>
  <c r="M648" i="2"/>
  <c r="L648" i="2"/>
  <c r="H648" i="2"/>
  <c r="F648" i="2"/>
  <c r="E648" i="2"/>
  <c r="BO647" i="2"/>
  <c r="BK647" i="2"/>
  <c r="BK642" i="2" s="1"/>
  <c r="AP647" i="2"/>
  <c r="Z647" i="2"/>
  <c r="V647" i="2"/>
  <c r="BT647" i="2" s="1"/>
  <c r="T647" i="2"/>
  <c r="S647" i="2"/>
  <c r="R647" i="2"/>
  <c r="Q647" i="2"/>
  <c r="W647" i="2" s="1"/>
  <c r="BR647" i="2" s="1"/>
  <c r="P647" i="2"/>
  <c r="Y647" i="2" s="1"/>
  <c r="K647" i="2"/>
  <c r="J647" i="2"/>
  <c r="I647" i="2"/>
  <c r="G647" i="2"/>
  <c r="BO646" i="2"/>
  <c r="BE646" i="2"/>
  <c r="BB646" i="2"/>
  <c r="AY646" i="2"/>
  <c r="AV646" i="2"/>
  <c r="AV642" i="2" s="1"/>
  <c r="Z646" i="2"/>
  <c r="V646" i="2"/>
  <c r="BT646" i="2" s="1"/>
  <c r="T646" i="2"/>
  <c r="S646" i="2"/>
  <c r="R646" i="2"/>
  <c r="Q646" i="2"/>
  <c r="W646" i="2" s="1"/>
  <c r="BR646" i="2" s="1"/>
  <c r="P646" i="2"/>
  <c r="Y646" i="2" s="1"/>
  <c r="K646" i="2"/>
  <c r="J646" i="2"/>
  <c r="I646" i="2"/>
  <c r="G646" i="2"/>
  <c r="Z645" i="2"/>
  <c r="X645" i="2"/>
  <c r="W645" i="2"/>
  <c r="BR645" i="2" s="1"/>
  <c r="V645" i="2"/>
  <c r="BT645" i="2" s="1"/>
  <c r="T645" i="2"/>
  <c r="S645" i="2"/>
  <c r="R645" i="2"/>
  <c r="Q645" i="2"/>
  <c r="P645" i="2"/>
  <c r="Y645" i="2" s="1"/>
  <c r="O645" i="2"/>
  <c r="BN645" i="2" s="1"/>
  <c r="K645" i="2"/>
  <c r="U645" i="2" s="1"/>
  <c r="BQ645" i="2" s="1"/>
  <c r="BS645" i="2" s="1"/>
  <c r="BV645" i="2" s="1"/>
  <c r="G645" i="2"/>
  <c r="BR644" i="2"/>
  <c r="BO644" i="2"/>
  <c r="Z644" i="2"/>
  <c r="Y644" i="2"/>
  <c r="X644" i="2"/>
  <c r="T644" i="2"/>
  <c r="S644" i="2"/>
  <c r="V644" i="2" s="1"/>
  <c r="BT644" i="2" s="1"/>
  <c r="R644" i="2"/>
  <c r="Q644" i="2"/>
  <c r="W644" i="2" s="1"/>
  <c r="P644" i="2"/>
  <c r="O644" i="2"/>
  <c r="BN644" i="2" s="1"/>
  <c r="I644" i="2"/>
  <c r="G644" i="2"/>
  <c r="J644" i="2" s="1"/>
  <c r="BT643" i="2"/>
  <c r="AJ643" i="2"/>
  <c r="AJ642" i="2" s="1"/>
  <c r="Z643" i="2"/>
  <c r="V643" i="2"/>
  <c r="T643" i="2"/>
  <c r="T642" i="2" s="1"/>
  <c r="S643" i="2"/>
  <c r="R643" i="2"/>
  <c r="Q643" i="2"/>
  <c r="BO643" i="2" s="1"/>
  <c r="P643" i="2"/>
  <c r="K643" i="2"/>
  <c r="G643" i="2"/>
  <c r="BM642" i="2"/>
  <c r="BL642" i="2"/>
  <c r="BJ642" i="2"/>
  <c r="BI642" i="2"/>
  <c r="BH642" i="2"/>
  <c r="BG642" i="2"/>
  <c r="BF642" i="2"/>
  <c r="BE642" i="2"/>
  <c r="BD642" i="2"/>
  <c r="BC642" i="2"/>
  <c r="BB642" i="2"/>
  <c r="BA642" i="2"/>
  <c r="AZ642" i="2"/>
  <c r="AY642" i="2"/>
  <c r="AX642" i="2"/>
  <c r="AW642" i="2"/>
  <c r="AU642" i="2"/>
  <c r="AT642" i="2"/>
  <c r="AS642" i="2"/>
  <c r="AR642" i="2"/>
  <c r="AQ642" i="2"/>
  <c r="AO642" i="2"/>
  <c r="AN642" i="2"/>
  <c r="AM642" i="2"/>
  <c r="AL642" i="2"/>
  <c r="AK642" i="2"/>
  <c r="AI642" i="2"/>
  <c r="AH642" i="2"/>
  <c r="AG642" i="2"/>
  <c r="AF642" i="2"/>
  <c r="AE642" i="2"/>
  <c r="AD642" i="2"/>
  <c r="AC642" i="2"/>
  <c r="AB642" i="2"/>
  <c r="AA642" i="2"/>
  <c r="N642" i="2"/>
  <c r="M642" i="2"/>
  <c r="L642" i="2"/>
  <c r="H642" i="2"/>
  <c r="G642" i="2"/>
  <c r="F642" i="2"/>
  <c r="E642" i="2"/>
  <c r="T641" i="2"/>
  <c r="S641" i="2"/>
  <c r="V641" i="2" s="1"/>
  <c r="BT641" i="2" s="1"/>
  <c r="R641" i="2"/>
  <c r="Q641" i="2"/>
  <c r="P641" i="2"/>
  <c r="Y641" i="2" s="1"/>
  <c r="O641" i="2"/>
  <c r="X641" i="2" s="1"/>
  <c r="J641" i="2"/>
  <c r="I641" i="2"/>
  <c r="G641" i="2"/>
  <c r="BO640" i="2"/>
  <c r="Z640" i="2"/>
  <c r="X640" i="2"/>
  <c r="V640" i="2"/>
  <c r="BT640" i="2" s="1"/>
  <c r="T640" i="2"/>
  <c r="S640" i="2"/>
  <c r="R640" i="2"/>
  <c r="Q640" i="2"/>
  <c r="W640" i="2" s="1"/>
  <c r="BR640" i="2" s="1"/>
  <c r="P640" i="2"/>
  <c r="Y640" i="2" s="1"/>
  <c r="O640" i="2"/>
  <c r="BN640" i="2" s="1"/>
  <c r="J640" i="2"/>
  <c r="G640" i="2"/>
  <c r="I640" i="2" s="1"/>
  <c r="BQ639" i="2"/>
  <c r="BN639" i="2"/>
  <c r="X639" i="2"/>
  <c r="V639" i="2"/>
  <c r="BT639" i="2" s="1"/>
  <c r="T639" i="2"/>
  <c r="S639" i="2"/>
  <c r="R639" i="2"/>
  <c r="Q639" i="2"/>
  <c r="P639" i="2"/>
  <c r="Y639" i="2" s="1"/>
  <c r="O639" i="2"/>
  <c r="U639" i="2" s="1"/>
  <c r="E639" i="2"/>
  <c r="G639" i="2" s="1"/>
  <c r="J639" i="2" s="1"/>
  <c r="BN638" i="2"/>
  <c r="BP638" i="2" s="1"/>
  <c r="Z638" i="2"/>
  <c r="Y638" i="2"/>
  <c r="W638" i="2"/>
  <c r="BR638" i="2" s="1"/>
  <c r="T638" i="2"/>
  <c r="S638" i="2"/>
  <c r="V638" i="2" s="1"/>
  <c r="BT638" i="2" s="1"/>
  <c r="R638" i="2"/>
  <c r="Q638" i="2"/>
  <c r="BO638" i="2" s="1"/>
  <c r="P638" i="2"/>
  <c r="O638" i="2"/>
  <c r="X638" i="2" s="1"/>
  <c r="G638" i="2"/>
  <c r="I638" i="2" s="1"/>
  <c r="BT637" i="2"/>
  <c r="BO637" i="2"/>
  <c r="BN637" i="2"/>
  <c r="BP637" i="2" s="1"/>
  <c r="BU637" i="2" s="1"/>
  <c r="Z637" i="2"/>
  <c r="Y637" i="2"/>
  <c r="X637" i="2"/>
  <c r="T637" i="2"/>
  <c r="S637" i="2"/>
  <c r="V637" i="2" s="1"/>
  <c r="R637" i="2"/>
  <c r="Q637" i="2"/>
  <c r="W637" i="2" s="1"/>
  <c r="BR637" i="2" s="1"/>
  <c r="P637" i="2"/>
  <c r="O637" i="2"/>
  <c r="U637" i="2" s="1"/>
  <c r="BQ637" i="2" s="1"/>
  <c r="BS637" i="2" s="1"/>
  <c r="BV637" i="2" s="1"/>
  <c r="J637" i="2"/>
  <c r="I637" i="2"/>
  <c r="G637" i="2"/>
  <c r="BO636" i="2"/>
  <c r="Z636" i="2"/>
  <c r="Y636" i="2"/>
  <c r="X636" i="2"/>
  <c r="T636" i="2"/>
  <c r="S636" i="2"/>
  <c r="V636" i="2" s="1"/>
  <c r="BT636" i="2" s="1"/>
  <c r="R636" i="2"/>
  <c r="Q636" i="2"/>
  <c r="W636" i="2" s="1"/>
  <c r="BR636" i="2" s="1"/>
  <c r="P636" i="2"/>
  <c r="O636" i="2"/>
  <c r="BN636" i="2" s="1"/>
  <c r="J636" i="2"/>
  <c r="I636" i="2"/>
  <c r="G636" i="2"/>
  <c r="BT635" i="2"/>
  <c r="BR635" i="2"/>
  <c r="Z635" i="2"/>
  <c r="Y635" i="2"/>
  <c r="W635" i="2"/>
  <c r="T635" i="2"/>
  <c r="S635" i="2"/>
  <c r="V635" i="2" s="1"/>
  <c r="R635" i="2"/>
  <c r="Q635" i="2"/>
  <c r="BO635" i="2" s="1"/>
  <c r="P635" i="2"/>
  <c r="O635" i="2"/>
  <c r="X635" i="2" s="1"/>
  <c r="J635" i="2"/>
  <c r="I635" i="2"/>
  <c r="G635" i="2"/>
  <c r="BO634" i="2"/>
  <c r="BN634" i="2"/>
  <c r="Z634" i="2"/>
  <c r="X634" i="2"/>
  <c r="V634" i="2"/>
  <c r="BT634" i="2" s="1"/>
  <c r="T634" i="2"/>
  <c r="S634" i="2"/>
  <c r="R634" i="2"/>
  <c r="Q634" i="2"/>
  <c r="W634" i="2" s="1"/>
  <c r="BR634" i="2" s="1"/>
  <c r="P634" i="2"/>
  <c r="Y634" i="2" s="1"/>
  <c r="O634" i="2"/>
  <c r="U634" i="2" s="1"/>
  <c r="BQ634" i="2" s="1"/>
  <c r="BS634" i="2" s="1"/>
  <c r="BV634" i="2" s="1"/>
  <c r="J634" i="2"/>
  <c r="G634" i="2"/>
  <c r="I634" i="2" s="1"/>
  <c r="Y633" i="2"/>
  <c r="T633" i="2"/>
  <c r="S633" i="2"/>
  <c r="V633" i="2" s="1"/>
  <c r="BT633" i="2" s="1"/>
  <c r="R633" i="2"/>
  <c r="Q633" i="2"/>
  <c r="P633" i="2"/>
  <c r="O633" i="2"/>
  <c r="J633" i="2"/>
  <c r="I633" i="2"/>
  <c r="G633" i="2"/>
  <c r="X632" i="2"/>
  <c r="V632" i="2"/>
  <c r="BT632" i="2" s="1"/>
  <c r="T632" i="2"/>
  <c r="S632" i="2"/>
  <c r="R632" i="2"/>
  <c r="Q632" i="2"/>
  <c r="P632" i="2"/>
  <c r="Y632" i="2" s="1"/>
  <c r="O632" i="2"/>
  <c r="BN632" i="2" s="1"/>
  <c r="J632" i="2"/>
  <c r="G632" i="2"/>
  <c r="I632" i="2" s="1"/>
  <c r="BT631" i="2"/>
  <c r="Y631" i="2"/>
  <c r="W631" i="2"/>
  <c r="BR631" i="2" s="1"/>
  <c r="T631" i="2"/>
  <c r="S631" i="2"/>
  <c r="V631" i="2" s="1"/>
  <c r="R631" i="2"/>
  <c r="Q631" i="2"/>
  <c r="P631" i="2"/>
  <c r="O631" i="2"/>
  <c r="I631" i="2"/>
  <c r="G631" i="2"/>
  <c r="J631" i="2" s="1"/>
  <c r="X630" i="2"/>
  <c r="T630" i="2"/>
  <c r="S630" i="2"/>
  <c r="V630" i="2" s="1"/>
  <c r="BT630" i="2" s="1"/>
  <c r="R630" i="2"/>
  <c r="Q630" i="2"/>
  <c r="Z630" i="2" s="1"/>
  <c r="P630" i="2"/>
  <c r="Y630" i="2" s="1"/>
  <c r="O630" i="2"/>
  <c r="BN630" i="2" s="1"/>
  <c r="J630" i="2"/>
  <c r="G630" i="2"/>
  <c r="I630" i="2" s="1"/>
  <c r="BN629" i="2"/>
  <c r="BP629" i="2" s="1"/>
  <c r="Y629" i="2"/>
  <c r="W629" i="2"/>
  <c r="BR629" i="2" s="1"/>
  <c r="T629" i="2"/>
  <c r="S629" i="2"/>
  <c r="V629" i="2" s="1"/>
  <c r="BT629" i="2" s="1"/>
  <c r="R629" i="2"/>
  <c r="Q629" i="2"/>
  <c r="BO629" i="2" s="1"/>
  <c r="P629" i="2"/>
  <c r="O629" i="2"/>
  <c r="X629" i="2" s="1"/>
  <c r="J629" i="2"/>
  <c r="G629" i="2"/>
  <c r="I629" i="2" s="1"/>
  <c r="BT628" i="2"/>
  <c r="AG628" i="2"/>
  <c r="O628" i="2" s="1"/>
  <c r="Z628" i="2"/>
  <c r="T628" i="2"/>
  <c r="S628" i="2"/>
  <c r="V628" i="2" s="1"/>
  <c r="R628" i="2"/>
  <c r="Q628" i="2"/>
  <c r="BO628" i="2" s="1"/>
  <c r="P628" i="2"/>
  <c r="Y628" i="2" s="1"/>
  <c r="J628" i="2"/>
  <c r="I628" i="2"/>
  <c r="G628" i="2"/>
  <c r="BP627" i="2"/>
  <c r="BU627" i="2" s="1"/>
  <c r="BO627" i="2"/>
  <c r="BN627" i="2"/>
  <c r="Z627" i="2"/>
  <c r="X627" i="2"/>
  <c r="V627" i="2"/>
  <c r="BT627" i="2" s="1"/>
  <c r="T627" i="2"/>
  <c r="S627" i="2"/>
  <c r="R627" i="2"/>
  <c r="Q627" i="2"/>
  <c r="W627" i="2" s="1"/>
  <c r="BR627" i="2" s="1"/>
  <c r="P627" i="2"/>
  <c r="Y627" i="2" s="1"/>
  <c r="O627" i="2"/>
  <c r="U627" i="2" s="1"/>
  <c r="BQ627" i="2" s="1"/>
  <c r="BS627" i="2" s="1"/>
  <c r="BV627" i="2" s="1"/>
  <c r="G627" i="2"/>
  <c r="BN626" i="2"/>
  <c r="X626" i="2"/>
  <c r="W626" i="2"/>
  <c r="BR626" i="2" s="1"/>
  <c r="V626" i="2"/>
  <c r="BT626" i="2" s="1"/>
  <c r="T626" i="2"/>
  <c r="S626" i="2"/>
  <c r="R626" i="2"/>
  <c r="Q626" i="2"/>
  <c r="P626" i="2"/>
  <c r="Y626" i="2" s="1"/>
  <c r="O626" i="2"/>
  <c r="U626" i="2" s="1"/>
  <c r="BQ626" i="2" s="1"/>
  <c r="I626" i="2"/>
  <c r="G626" i="2"/>
  <c r="J626" i="2" s="1"/>
  <c r="BR625" i="2"/>
  <c r="X625" i="2"/>
  <c r="T625" i="2"/>
  <c r="S625" i="2"/>
  <c r="V625" i="2" s="1"/>
  <c r="BT625" i="2" s="1"/>
  <c r="R625" i="2"/>
  <c r="Q625" i="2"/>
  <c r="W625" i="2" s="1"/>
  <c r="P625" i="2"/>
  <c r="Y625" i="2" s="1"/>
  <c r="O625" i="2"/>
  <c r="BN625" i="2" s="1"/>
  <c r="J625" i="2"/>
  <c r="I625" i="2"/>
  <c r="G625" i="2"/>
  <c r="BR624" i="2"/>
  <c r="BP624" i="2"/>
  <c r="BU624" i="2" s="1"/>
  <c r="Y624" i="2"/>
  <c r="W624" i="2"/>
  <c r="T624" i="2"/>
  <c r="S624" i="2"/>
  <c r="V624" i="2" s="1"/>
  <c r="BT624" i="2" s="1"/>
  <c r="R624" i="2"/>
  <c r="Q624" i="2"/>
  <c r="BO624" i="2" s="1"/>
  <c r="P624" i="2"/>
  <c r="O624" i="2"/>
  <c r="BN624" i="2" s="1"/>
  <c r="J624" i="2"/>
  <c r="I624" i="2"/>
  <c r="G624" i="2"/>
  <c r="BT623" i="2"/>
  <c r="BO623" i="2"/>
  <c r="BN623" i="2"/>
  <c r="BP623" i="2" s="1"/>
  <c r="BU623" i="2" s="1"/>
  <c r="Z623" i="2"/>
  <c r="X623" i="2"/>
  <c r="V623" i="2"/>
  <c r="T623" i="2"/>
  <c r="S623" i="2"/>
  <c r="R623" i="2"/>
  <c r="Q623" i="2"/>
  <c r="W623" i="2" s="1"/>
  <c r="BR623" i="2" s="1"/>
  <c r="P623" i="2"/>
  <c r="Y623" i="2" s="1"/>
  <c r="O623" i="2"/>
  <c r="U623" i="2" s="1"/>
  <c r="BQ623" i="2" s="1"/>
  <c r="BS623" i="2" s="1"/>
  <c r="BV623" i="2" s="1"/>
  <c r="G623" i="2"/>
  <c r="I623" i="2" s="1"/>
  <c r="BT622" i="2"/>
  <c r="BO622" i="2"/>
  <c r="Y622" i="2"/>
  <c r="V622" i="2"/>
  <c r="T622" i="2"/>
  <c r="S622" i="2"/>
  <c r="R622" i="2"/>
  <c r="Q622" i="2"/>
  <c r="W622" i="2" s="1"/>
  <c r="BR622" i="2" s="1"/>
  <c r="P622" i="2"/>
  <c r="O622" i="2"/>
  <c r="I622" i="2"/>
  <c r="G622" i="2"/>
  <c r="X621" i="2"/>
  <c r="W621" i="2"/>
  <c r="BR621" i="2" s="1"/>
  <c r="V621" i="2"/>
  <c r="BT621" i="2" s="1"/>
  <c r="T621" i="2"/>
  <c r="S621" i="2"/>
  <c r="R621" i="2"/>
  <c r="Q621" i="2"/>
  <c r="Z621" i="2" s="1"/>
  <c r="P621" i="2"/>
  <c r="Y621" i="2" s="1"/>
  <c r="O621" i="2"/>
  <c r="BN621" i="2" s="1"/>
  <c r="J621" i="2"/>
  <c r="G621" i="2"/>
  <c r="I621" i="2" s="1"/>
  <c r="BT620" i="2"/>
  <c r="BN620" i="2"/>
  <c r="Y620" i="2"/>
  <c r="X620" i="2"/>
  <c r="W620" i="2"/>
  <c r="BR620" i="2" s="1"/>
  <c r="T620" i="2"/>
  <c r="S620" i="2"/>
  <c r="V620" i="2" s="1"/>
  <c r="R620" i="2"/>
  <c r="Q620" i="2"/>
  <c r="P620" i="2"/>
  <c r="O620" i="2"/>
  <c r="U620" i="2" s="1"/>
  <c r="BQ620" i="2" s="1"/>
  <c r="BS620" i="2" s="1"/>
  <c r="BV620" i="2" s="1"/>
  <c r="G620" i="2"/>
  <c r="BR619" i="2"/>
  <c r="BO619" i="2"/>
  <c r="Z619" i="2"/>
  <c r="Y619" i="2"/>
  <c r="X619" i="2"/>
  <c r="V619" i="2"/>
  <c r="BT619" i="2" s="1"/>
  <c r="T619" i="2"/>
  <c r="S619" i="2"/>
  <c r="R619" i="2"/>
  <c r="Q619" i="2"/>
  <c r="W619" i="2" s="1"/>
  <c r="P619" i="2"/>
  <c r="O619" i="2"/>
  <c r="BN619" i="2" s="1"/>
  <c r="BP619" i="2" s="1"/>
  <c r="BU619" i="2" s="1"/>
  <c r="I619" i="2"/>
  <c r="G619" i="2"/>
  <c r="J619" i="2" s="1"/>
  <c r="Y618" i="2"/>
  <c r="W618" i="2"/>
  <c r="BR618" i="2" s="1"/>
  <c r="T618" i="2"/>
  <c r="S618" i="2"/>
  <c r="V618" i="2" s="1"/>
  <c r="BT618" i="2" s="1"/>
  <c r="R618" i="2"/>
  <c r="Q618" i="2"/>
  <c r="BO618" i="2" s="1"/>
  <c r="P618" i="2"/>
  <c r="O618" i="2"/>
  <c r="BN618" i="2" s="1"/>
  <c r="BP618" i="2" s="1"/>
  <c r="J618" i="2"/>
  <c r="I618" i="2"/>
  <c r="G618" i="2"/>
  <c r="BT617" i="2"/>
  <c r="BO617" i="2"/>
  <c r="BN617" i="2"/>
  <c r="BP617" i="2" s="1"/>
  <c r="BU617" i="2" s="1"/>
  <c r="Z617" i="2"/>
  <c r="V617" i="2"/>
  <c r="T617" i="2"/>
  <c r="S617" i="2"/>
  <c r="R617" i="2"/>
  <c r="Q617" i="2"/>
  <c r="W617" i="2" s="1"/>
  <c r="BR617" i="2" s="1"/>
  <c r="P617" i="2"/>
  <c r="Y617" i="2" s="1"/>
  <c r="O617" i="2"/>
  <c r="X617" i="2" s="1"/>
  <c r="G617" i="2"/>
  <c r="I617" i="2" s="1"/>
  <c r="BR616" i="2"/>
  <c r="BO616" i="2"/>
  <c r="V616" i="2"/>
  <c r="BT616" i="2" s="1"/>
  <c r="T616" i="2"/>
  <c r="S616" i="2"/>
  <c r="R616" i="2"/>
  <c r="Q616" i="2"/>
  <c r="W616" i="2" s="1"/>
  <c r="P616" i="2"/>
  <c r="Y616" i="2" s="1"/>
  <c r="O616" i="2"/>
  <c r="X616" i="2" s="1"/>
  <c r="I616" i="2"/>
  <c r="E616" i="2"/>
  <c r="G616" i="2" s="1"/>
  <c r="J616" i="2" s="1"/>
  <c r="BT615" i="2"/>
  <c r="BN615" i="2"/>
  <c r="Y615" i="2"/>
  <c r="X615" i="2"/>
  <c r="W615" i="2"/>
  <c r="BR615" i="2" s="1"/>
  <c r="T615" i="2"/>
  <c r="S615" i="2"/>
  <c r="V615" i="2" s="1"/>
  <c r="R615" i="2"/>
  <c r="Q615" i="2"/>
  <c r="P615" i="2"/>
  <c r="O615" i="2"/>
  <c r="U615" i="2" s="1"/>
  <c r="BQ615" i="2" s="1"/>
  <c r="BS615" i="2" s="1"/>
  <c r="BV615" i="2" s="1"/>
  <c r="G615" i="2"/>
  <c r="BR614" i="2"/>
  <c r="BO614" i="2"/>
  <c r="Z614" i="2"/>
  <c r="Y614" i="2"/>
  <c r="X614" i="2"/>
  <c r="V614" i="2"/>
  <c r="BT614" i="2" s="1"/>
  <c r="T614" i="2"/>
  <c r="S614" i="2"/>
  <c r="R614" i="2"/>
  <c r="Q614" i="2"/>
  <c r="W614" i="2" s="1"/>
  <c r="P614" i="2"/>
  <c r="O614" i="2"/>
  <c r="BN614" i="2" s="1"/>
  <c r="BP614" i="2" s="1"/>
  <c r="BU614" i="2" s="1"/>
  <c r="G614" i="2"/>
  <c r="BR613" i="2"/>
  <c r="BN613" i="2"/>
  <c r="BP613" i="2" s="1"/>
  <c r="Z613" i="2"/>
  <c r="Y613" i="2"/>
  <c r="W613" i="2"/>
  <c r="T613" i="2"/>
  <c r="S613" i="2"/>
  <c r="V613" i="2" s="1"/>
  <c r="BT613" i="2" s="1"/>
  <c r="R613" i="2"/>
  <c r="Q613" i="2"/>
  <c r="BO613" i="2" s="1"/>
  <c r="P613" i="2"/>
  <c r="O613" i="2"/>
  <c r="X613" i="2" s="1"/>
  <c r="I613" i="2"/>
  <c r="G613" i="2"/>
  <c r="BT612" i="2"/>
  <c r="BO612" i="2"/>
  <c r="Z612" i="2"/>
  <c r="V612" i="2"/>
  <c r="T612" i="2"/>
  <c r="S612" i="2"/>
  <c r="R612" i="2"/>
  <c r="Q612" i="2"/>
  <c r="W612" i="2" s="1"/>
  <c r="BR612" i="2" s="1"/>
  <c r="P612" i="2"/>
  <c r="Y612" i="2" s="1"/>
  <c r="O612" i="2"/>
  <c r="J612" i="2"/>
  <c r="G612" i="2"/>
  <c r="I612" i="2" s="1"/>
  <c r="BN611" i="2"/>
  <c r="V611" i="2"/>
  <c r="BT611" i="2" s="1"/>
  <c r="T611" i="2"/>
  <c r="S611" i="2"/>
  <c r="R611" i="2"/>
  <c r="Q611" i="2"/>
  <c r="Z611" i="2" s="1"/>
  <c r="P611" i="2"/>
  <c r="Y611" i="2" s="1"/>
  <c r="O611" i="2"/>
  <c r="X611" i="2" s="1"/>
  <c r="M611" i="2"/>
  <c r="G611" i="2"/>
  <c r="I611" i="2" s="1"/>
  <c r="BT610" i="2"/>
  <c r="Y610" i="2"/>
  <c r="T610" i="2"/>
  <c r="S610" i="2"/>
  <c r="V610" i="2" s="1"/>
  <c r="R610" i="2"/>
  <c r="Q610" i="2"/>
  <c r="P610" i="2"/>
  <c r="O610" i="2"/>
  <c r="U610" i="2" s="1"/>
  <c r="BQ610" i="2" s="1"/>
  <c r="I610" i="2"/>
  <c r="G610" i="2"/>
  <c r="J610" i="2" s="1"/>
  <c r="BR609" i="2"/>
  <c r="BO609" i="2"/>
  <c r="Z609" i="2"/>
  <c r="Y609" i="2"/>
  <c r="X609" i="2"/>
  <c r="V609" i="2"/>
  <c r="BT609" i="2" s="1"/>
  <c r="T609" i="2"/>
  <c r="S609" i="2"/>
  <c r="R609" i="2"/>
  <c r="Q609" i="2"/>
  <c r="W609" i="2" s="1"/>
  <c r="P609" i="2"/>
  <c r="O609" i="2"/>
  <c r="BN609" i="2" s="1"/>
  <c r="BP609" i="2" s="1"/>
  <c r="BU609" i="2" s="1"/>
  <c r="G609" i="2"/>
  <c r="AV608" i="2"/>
  <c r="O608" i="2" s="1"/>
  <c r="Z608" i="2"/>
  <c r="V608" i="2"/>
  <c r="BT608" i="2" s="1"/>
  <c r="T608" i="2"/>
  <c r="S608" i="2"/>
  <c r="R608" i="2"/>
  <c r="Q608" i="2"/>
  <c r="BO608" i="2" s="1"/>
  <c r="P608" i="2"/>
  <c r="Y608" i="2" s="1"/>
  <c r="J608" i="2"/>
  <c r="G608" i="2"/>
  <c r="I608" i="2" s="1"/>
  <c r="BT607" i="2"/>
  <c r="Y607" i="2"/>
  <c r="V607" i="2"/>
  <c r="T607" i="2"/>
  <c r="S607" i="2"/>
  <c r="R607" i="2"/>
  <c r="Q607" i="2"/>
  <c r="Z607" i="2" s="1"/>
  <c r="P607" i="2"/>
  <c r="O607" i="2"/>
  <c r="I607" i="2"/>
  <c r="G607" i="2"/>
  <c r="J607" i="2" s="1"/>
  <c r="BO606" i="2"/>
  <c r="Z606" i="2"/>
  <c r="X606" i="2"/>
  <c r="W606" i="2"/>
  <c r="BR606" i="2" s="1"/>
  <c r="V606" i="2"/>
  <c r="BT606" i="2" s="1"/>
  <c r="T606" i="2"/>
  <c r="S606" i="2"/>
  <c r="R606" i="2"/>
  <c r="Q606" i="2"/>
  <c r="P606" i="2"/>
  <c r="Y606" i="2" s="1"/>
  <c r="O606" i="2"/>
  <c r="BN606" i="2" s="1"/>
  <c r="BP606" i="2" s="1"/>
  <c r="G606" i="2"/>
  <c r="I606" i="2" s="1"/>
  <c r="BB605" i="2"/>
  <c r="AM605" i="2"/>
  <c r="Z605" i="2"/>
  <c r="Y605" i="2"/>
  <c r="W605" i="2"/>
  <c r="BR605" i="2" s="1"/>
  <c r="T605" i="2"/>
  <c r="S605" i="2"/>
  <c r="V605" i="2" s="1"/>
  <c r="BT605" i="2" s="1"/>
  <c r="R605" i="2"/>
  <c r="Q605" i="2"/>
  <c r="BO605" i="2" s="1"/>
  <c r="P605" i="2"/>
  <c r="K605" i="2"/>
  <c r="J605" i="2"/>
  <c r="G605" i="2"/>
  <c r="I605" i="2" s="1"/>
  <c r="BT604" i="2"/>
  <c r="Y604" i="2"/>
  <c r="V604" i="2"/>
  <c r="T604" i="2"/>
  <c r="S604" i="2"/>
  <c r="R604" i="2"/>
  <c r="Q604" i="2"/>
  <c r="Z604" i="2" s="1"/>
  <c r="P604" i="2"/>
  <c r="O604" i="2"/>
  <c r="I604" i="2"/>
  <c r="G604" i="2"/>
  <c r="J604" i="2" s="1"/>
  <c r="AJ603" i="2"/>
  <c r="O603" i="2" s="1"/>
  <c r="Y603" i="2"/>
  <c r="X603" i="2"/>
  <c r="T603" i="2"/>
  <c r="S603" i="2"/>
  <c r="V603" i="2" s="1"/>
  <c r="BT603" i="2" s="1"/>
  <c r="Q603" i="2"/>
  <c r="P603" i="2"/>
  <c r="K603" i="2"/>
  <c r="G603" i="2"/>
  <c r="BR602" i="2"/>
  <c r="BN602" i="2"/>
  <c r="BP602" i="2" s="1"/>
  <c r="Z602" i="2"/>
  <c r="Y602" i="2"/>
  <c r="W602" i="2"/>
  <c r="T602" i="2"/>
  <c r="S602" i="2"/>
  <c r="V602" i="2" s="1"/>
  <c r="BT602" i="2" s="1"/>
  <c r="R602" i="2"/>
  <c r="Q602" i="2"/>
  <c r="BO602" i="2" s="1"/>
  <c r="P602" i="2"/>
  <c r="O602" i="2"/>
  <c r="X602" i="2" s="1"/>
  <c r="J602" i="2"/>
  <c r="I602" i="2"/>
  <c r="G602" i="2"/>
  <c r="BB601" i="2"/>
  <c r="O601" i="2" s="1"/>
  <c r="V601" i="2"/>
  <c r="BT601" i="2" s="1"/>
  <c r="T601" i="2"/>
  <c r="S601" i="2"/>
  <c r="R601" i="2"/>
  <c r="Q601" i="2"/>
  <c r="Z601" i="2" s="1"/>
  <c r="P601" i="2"/>
  <c r="Y601" i="2" s="1"/>
  <c r="I601" i="2"/>
  <c r="G601" i="2"/>
  <c r="J601" i="2" s="1"/>
  <c r="BU600" i="2"/>
  <c r="BO600" i="2"/>
  <c r="BB600" i="2"/>
  <c r="Y600" i="2"/>
  <c r="T600" i="2"/>
  <c r="S600" i="2"/>
  <c r="V600" i="2" s="1"/>
  <c r="BT600" i="2" s="1"/>
  <c r="R600" i="2"/>
  <c r="Q600" i="2"/>
  <c r="Z600" i="2" s="1"/>
  <c r="P600" i="2"/>
  <c r="O600" i="2"/>
  <c r="BN600" i="2" s="1"/>
  <c r="BP600" i="2" s="1"/>
  <c r="I600" i="2"/>
  <c r="G600" i="2"/>
  <c r="J600" i="2" s="1"/>
  <c r="BO599" i="2"/>
  <c r="BB599" i="2"/>
  <c r="BB581" i="2" s="1"/>
  <c r="BB576" i="2" s="1"/>
  <c r="Z599" i="2"/>
  <c r="Y599" i="2"/>
  <c r="W599" i="2"/>
  <c r="BR599" i="2" s="1"/>
  <c r="T599" i="2"/>
  <c r="S599" i="2"/>
  <c r="V599" i="2" s="1"/>
  <c r="BT599" i="2" s="1"/>
  <c r="R599" i="2"/>
  <c r="Q599" i="2"/>
  <c r="P599" i="2"/>
  <c r="J599" i="2"/>
  <c r="I599" i="2"/>
  <c r="G599" i="2"/>
  <c r="BT598" i="2"/>
  <c r="AV598" i="2"/>
  <c r="AV581" i="2" s="1"/>
  <c r="AV576" i="2" s="1"/>
  <c r="V598" i="2"/>
  <c r="T598" i="2"/>
  <c r="S598" i="2"/>
  <c r="R598" i="2"/>
  <c r="Q598" i="2"/>
  <c r="Z598" i="2" s="1"/>
  <c r="P598" i="2"/>
  <c r="Y598" i="2" s="1"/>
  <c r="I598" i="2"/>
  <c r="G598" i="2"/>
  <c r="J598" i="2" s="1"/>
  <c r="X597" i="2"/>
  <c r="V597" i="2"/>
  <c r="BT597" i="2" s="1"/>
  <c r="T597" i="2"/>
  <c r="S597" i="2"/>
  <c r="R597" i="2"/>
  <c r="Q597" i="2"/>
  <c r="P597" i="2"/>
  <c r="Y597" i="2" s="1"/>
  <c r="O597" i="2"/>
  <c r="BN597" i="2" s="1"/>
  <c r="G597" i="2"/>
  <c r="Y596" i="2"/>
  <c r="T596" i="2"/>
  <c r="S596" i="2"/>
  <c r="V596" i="2" s="1"/>
  <c r="BT596" i="2" s="1"/>
  <c r="R596" i="2"/>
  <c r="Q596" i="2"/>
  <c r="P596" i="2"/>
  <c r="O596" i="2"/>
  <c r="U596" i="2" s="1"/>
  <c r="BQ596" i="2" s="1"/>
  <c r="I596" i="2"/>
  <c r="G596" i="2"/>
  <c r="J596" i="2" s="1"/>
  <c r="BR595" i="2"/>
  <c r="BO595" i="2"/>
  <c r="Z595" i="2"/>
  <c r="Y595" i="2"/>
  <c r="X595" i="2"/>
  <c r="V595" i="2"/>
  <c r="BT595" i="2" s="1"/>
  <c r="T595" i="2"/>
  <c r="S595" i="2"/>
  <c r="R595" i="2"/>
  <c r="Q595" i="2"/>
  <c r="W595" i="2" s="1"/>
  <c r="P595" i="2"/>
  <c r="O595" i="2"/>
  <c r="BN595" i="2" s="1"/>
  <c r="BP595" i="2" s="1"/>
  <c r="BU595" i="2" s="1"/>
  <c r="J595" i="2"/>
  <c r="G595" i="2"/>
  <c r="I595" i="2" s="1"/>
  <c r="BR594" i="2"/>
  <c r="BN594" i="2"/>
  <c r="BP594" i="2" s="1"/>
  <c r="Z594" i="2"/>
  <c r="Y594" i="2"/>
  <c r="W594" i="2"/>
  <c r="T594" i="2"/>
  <c r="S594" i="2"/>
  <c r="V594" i="2" s="1"/>
  <c r="BT594" i="2" s="1"/>
  <c r="R594" i="2"/>
  <c r="Q594" i="2"/>
  <c r="BO594" i="2" s="1"/>
  <c r="P594" i="2"/>
  <c r="O594" i="2"/>
  <c r="X594" i="2" s="1"/>
  <c r="J594" i="2"/>
  <c r="I594" i="2"/>
  <c r="G594" i="2"/>
  <c r="BT593" i="2"/>
  <c r="BO593" i="2"/>
  <c r="Z593" i="2"/>
  <c r="V593" i="2"/>
  <c r="T593" i="2"/>
  <c r="S593" i="2"/>
  <c r="R593" i="2"/>
  <c r="Q593" i="2"/>
  <c r="W593" i="2" s="1"/>
  <c r="BR593" i="2" s="1"/>
  <c r="P593" i="2"/>
  <c r="Y593" i="2" s="1"/>
  <c r="O593" i="2"/>
  <c r="BN593" i="2" s="1"/>
  <c r="BP593" i="2" s="1"/>
  <c r="J593" i="2"/>
  <c r="G593" i="2"/>
  <c r="I593" i="2" s="1"/>
  <c r="BT592" i="2"/>
  <c r="BN592" i="2"/>
  <c r="BE592" i="2"/>
  <c r="X592" i="2"/>
  <c r="V592" i="2"/>
  <c r="T592" i="2"/>
  <c r="S592" i="2"/>
  <c r="R592" i="2"/>
  <c r="Q592" i="2"/>
  <c r="P592" i="2"/>
  <c r="Y592" i="2" s="1"/>
  <c r="O592" i="2"/>
  <c r="U592" i="2" s="1"/>
  <c r="BQ592" i="2" s="1"/>
  <c r="G592" i="2"/>
  <c r="Y591" i="2"/>
  <c r="T591" i="2"/>
  <c r="S591" i="2"/>
  <c r="V591" i="2" s="1"/>
  <c r="BT591" i="2" s="1"/>
  <c r="R591" i="2"/>
  <c r="Q591" i="2"/>
  <c r="P591" i="2"/>
  <c r="O591" i="2"/>
  <c r="U591" i="2" s="1"/>
  <c r="BQ591" i="2" s="1"/>
  <c r="I591" i="2"/>
  <c r="G591" i="2"/>
  <c r="J591" i="2" s="1"/>
  <c r="BR590" i="2"/>
  <c r="BO590" i="2"/>
  <c r="Z590" i="2"/>
  <c r="Y590" i="2"/>
  <c r="V590" i="2"/>
  <c r="BT590" i="2" s="1"/>
  <c r="T590" i="2"/>
  <c r="S590" i="2"/>
  <c r="R590" i="2"/>
  <c r="Q590" i="2"/>
  <c r="W590" i="2" s="1"/>
  <c r="P590" i="2"/>
  <c r="O590" i="2"/>
  <c r="BN590" i="2" s="1"/>
  <c r="BP590" i="2" s="1"/>
  <c r="BU590" i="2" s="1"/>
  <c r="K590" i="2"/>
  <c r="J590" i="2"/>
  <c r="I590" i="2"/>
  <c r="G590" i="2"/>
  <c r="BT589" i="2"/>
  <c r="AG589" i="2"/>
  <c r="AG581" i="2" s="1"/>
  <c r="V589" i="2"/>
  <c r="T589" i="2"/>
  <c r="S589" i="2"/>
  <c r="R589" i="2"/>
  <c r="Q589" i="2"/>
  <c r="Z589" i="2" s="1"/>
  <c r="P589" i="2"/>
  <c r="Y589" i="2" s="1"/>
  <c r="I589" i="2"/>
  <c r="G589" i="2"/>
  <c r="J589" i="2" s="1"/>
  <c r="X588" i="2"/>
  <c r="V588" i="2"/>
  <c r="BT588" i="2" s="1"/>
  <c r="T588" i="2"/>
  <c r="S588" i="2"/>
  <c r="R588" i="2"/>
  <c r="Q588" i="2"/>
  <c r="P588" i="2"/>
  <c r="Y588" i="2" s="1"/>
  <c r="O588" i="2"/>
  <c r="BN588" i="2" s="1"/>
  <c r="G588" i="2"/>
  <c r="BN587" i="2"/>
  <c r="AG587" i="2"/>
  <c r="X587" i="2"/>
  <c r="V587" i="2"/>
  <c r="BT587" i="2" s="1"/>
  <c r="T587" i="2"/>
  <c r="S587" i="2"/>
  <c r="R587" i="2"/>
  <c r="Q587" i="2"/>
  <c r="Z587" i="2" s="1"/>
  <c r="P587" i="2"/>
  <c r="Y587" i="2" s="1"/>
  <c r="O587" i="2"/>
  <c r="U587" i="2" s="1"/>
  <c r="BQ587" i="2" s="1"/>
  <c r="G587" i="2"/>
  <c r="Y586" i="2"/>
  <c r="X586" i="2"/>
  <c r="W586" i="2"/>
  <c r="BR586" i="2" s="1"/>
  <c r="T586" i="2"/>
  <c r="S586" i="2"/>
  <c r="V586" i="2" s="1"/>
  <c r="BT586" i="2" s="1"/>
  <c r="R586" i="2"/>
  <c r="Q586" i="2"/>
  <c r="P586" i="2"/>
  <c r="O586" i="2"/>
  <c r="BN586" i="2" s="1"/>
  <c r="K586" i="2"/>
  <c r="U586" i="2" s="1"/>
  <c r="BQ586" i="2" s="1"/>
  <c r="G586" i="2"/>
  <c r="I586" i="2" s="1"/>
  <c r="BR585" i="2"/>
  <c r="BO585" i="2"/>
  <c r="Z585" i="2"/>
  <c r="Y585" i="2"/>
  <c r="V585" i="2"/>
  <c r="BT585" i="2" s="1"/>
  <c r="T585" i="2"/>
  <c r="S585" i="2"/>
  <c r="R585" i="2"/>
  <c r="Q585" i="2"/>
  <c r="W585" i="2" s="1"/>
  <c r="P585" i="2"/>
  <c r="O585" i="2"/>
  <c r="I585" i="2"/>
  <c r="G585" i="2"/>
  <c r="BO584" i="2"/>
  <c r="W584" i="2"/>
  <c r="BR584" i="2" s="1"/>
  <c r="V584" i="2"/>
  <c r="BT584" i="2" s="1"/>
  <c r="T584" i="2"/>
  <c r="S584" i="2"/>
  <c r="R584" i="2"/>
  <c r="Q584" i="2"/>
  <c r="Z584" i="2" s="1"/>
  <c r="P584" i="2"/>
  <c r="O584" i="2"/>
  <c r="X584" i="2" s="1"/>
  <c r="J584" i="2"/>
  <c r="I584" i="2"/>
  <c r="G584" i="2"/>
  <c r="BT583" i="2"/>
  <c r="BP583" i="2"/>
  <c r="BN583" i="2"/>
  <c r="BH583" i="2"/>
  <c r="O583" i="2" s="1"/>
  <c r="BE583" i="2"/>
  <c r="Y583" i="2"/>
  <c r="W583" i="2"/>
  <c r="BR583" i="2" s="1"/>
  <c r="T583" i="2"/>
  <c r="S583" i="2"/>
  <c r="V583" i="2" s="1"/>
  <c r="R583" i="2"/>
  <c r="Q583" i="2"/>
  <c r="BO583" i="2" s="1"/>
  <c r="P583" i="2"/>
  <c r="J583" i="2"/>
  <c r="I583" i="2"/>
  <c r="G583" i="2"/>
  <c r="BT582" i="2"/>
  <c r="BN582" i="2"/>
  <c r="Z582" i="2"/>
  <c r="Y582" i="2"/>
  <c r="X582" i="2"/>
  <c r="T582" i="2"/>
  <c r="T581" i="2" s="1"/>
  <c r="S582" i="2"/>
  <c r="V582" i="2" s="1"/>
  <c r="R582" i="2"/>
  <c r="Q582" i="2"/>
  <c r="BO582" i="2" s="1"/>
  <c r="P582" i="2"/>
  <c r="O582" i="2"/>
  <c r="J582" i="2"/>
  <c r="G582" i="2"/>
  <c r="I582" i="2" s="1"/>
  <c r="E582" i="2"/>
  <c r="BM581" i="2"/>
  <c r="BL581" i="2"/>
  <c r="BK581" i="2"/>
  <c r="BJ581" i="2"/>
  <c r="BI581" i="2"/>
  <c r="BI576" i="2" s="1"/>
  <c r="BH581" i="2"/>
  <c r="BG581" i="2"/>
  <c r="BF581" i="2"/>
  <c r="BE581" i="2"/>
  <c r="BD581" i="2"/>
  <c r="BC581" i="2"/>
  <c r="BC576" i="2" s="1"/>
  <c r="BA581" i="2"/>
  <c r="AZ581" i="2"/>
  <c r="AY581" i="2"/>
  <c r="AX581" i="2"/>
  <c r="AW581" i="2"/>
  <c r="AU581" i="2"/>
  <c r="AT581" i="2"/>
  <c r="AS581" i="2"/>
  <c r="AR581" i="2"/>
  <c r="AQ581" i="2"/>
  <c r="AQ576" i="2" s="1"/>
  <c r="AP581" i="2"/>
  <c r="AO581" i="2"/>
  <c r="AN581" i="2"/>
  <c r="AL581" i="2"/>
  <c r="AK581" i="2"/>
  <c r="AI581" i="2"/>
  <c r="AH581" i="2"/>
  <c r="AF581" i="2"/>
  <c r="AE581" i="2"/>
  <c r="AD581" i="2"/>
  <c r="AC581" i="2"/>
  <c r="AB581" i="2"/>
  <c r="AA581" i="2"/>
  <c r="S581" i="2"/>
  <c r="N581" i="2"/>
  <c r="M581" i="2"/>
  <c r="L581" i="2"/>
  <c r="K581" i="2"/>
  <c r="H581" i="2"/>
  <c r="F581" i="2"/>
  <c r="E581" i="2"/>
  <c r="BT580" i="2"/>
  <c r="BT579" i="2" s="1"/>
  <c r="BN580" i="2"/>
  <c r="BE580" i="2"/>
  <c r="AP580" i="2"/>
  <c r="AP579" i="2" s="1"/>
  <c r="V580" i="2"/>
  <c r="T580" i="2"/>
  <c r="S580" i="2"/>
  <c r="R580" i="2"/>
  <c r="R579" i="2" s="1"/>
  <c r="Q580" i="2"/>
  <c r="Z580" i="2" s="1"/>
  <c r="P580" i="2"/>
  <c r="Y580" i="2" s="1"/>
  <c r="O580" i="2"/>
  <c r="K580" i="2"/>
  <c r="G580" i="2"/>
  <c r="BM579" i="2"/>
  <c r="BL579" i="2"/>
  <c r="BK579" i="2"/>
  <c r="BJ579" i="2"/>
  <c r="BI579" i="2"/>
  <c r="BH579" i="2"/>
  <c r="BG579" i="2"/>
  <c r="BF579" i="2"/>
  <c r="BE579" i="2"/>
  <c r="BD579" i="2"/>
  <c r="BC579" i="2"/>
  <c r="BB579" i="2"/>
  <c r="BA579" i="2"/>
  <c r="AZ579" i="2"/>
  <c r="AY579" i="2"/>
  <c r="AX579" i="2"/>
  <c r="AW579" i="2"/>
  <c r="AV579" i="2"/>
  <c r="AU579" i="2"/>
  <c r="AT579" i="2"/>
  <c r="AS579" i="2"/>
  <c r="AR579" i="2"/>
  <c r="AQ579" i="2"/>
  <c r="AO579" i="2"/>
  <c r="AN579" i="2"/>
  <c r="AM579" i="2"/>
  <c r="AL579" i="2"/>
  <c r="AK579" i="2"/>
  <c r="AJ579" i="2"/>
  <c r="AI579" i="2"/>
  <c r="AH579" i="2"/>
  <c r="AG579" i="2"/>
  <c r="AF579" i="2"/>
  <c r="AE579" i="2"/>
  <c r="AD579" i="2"/>
  <c r="AC579" i="2"/>
  <c r="AB579" i="2"/>
  <c r="AA579" i="2"/>
  <c r="V579" i="2"/>
  <c r="T579" i="2"/>
  <c r="S579" i="2"/>
  <c r="P579" i="2"/>
  <c r="Y579" i="2" s="1"/>
  <c r="N579" i="2"/>
  <c r="M579" i="2"/>
  <c r="L579" i="2"/>
  <c r="K579" i="2"/>
  <c r="H579" i="2"/>
  <c r="F579" i="2"/>
  <c r="E579" i="2"/>
  <c r="BO578" i="2"/>
  <c r="BO577" i="2" s="1"/>
  <c r="Y578" i="2"/>
  <c r="X578" i="2"/>
  <c r="T578" i="2"/>
  <c r="S578" i="2"/>
  <c r="S577" i="2" s="1"/>
  <c r="R578" i="2"/>
  <c r="R577" i="2" s="1"/>
  <c r="Q578" i="2"/>
  <c r="Z578" i="2" s="1"/>
  <c r="P578" i="2"/>
  <c r="P577" i="2" s="1"/>
  <c r="O578" i="2"/>
  <c r="BN578" i="2" s="1"/>
  <c r="G578" i="2"/>
  <c r="BM577" i="2"/>
  <c r="BM576" i="2" s="1"/>
  <c r="BL577" i="2"/>
  <c r="BL576" i="2" s="1"/>
  <c r="BK577" i="2"/>
  <c r="BJ577" i="2"/>
  <c r="BJ576" i="2" s="1"/>
  <c r="BI577" i="2"/>
  <c r="BH577" i="2"/>
  <c r="BG577" i="2"/>
  <c r="BG576" i="2" s="1"/>
  <c r="BF577" i="2"/>
  <c r="BF576" i="2" s="1"/>
  <c r="BE577" i="2"/>
  <c r="BD577" i="2"/>
  <c r="BD576" i="2" s="1"/>
  <c r="BC577" i="2"/>
  <c r="BB577" i="2"/>
  <c r="BA577" i="2"/>
  <c r="BA576" i="2" s="1"/>
  <c r="AZ577" i="2"/>
  <c r="AZ576" i="2" s="1"/>
  <c r="AY577" i="2"/>
  <c r="AX577" i="2"/>
  <c r="AX576" i="2" s="1"/>
  <c r="AW577" i="2"/>
  <c r="AV577" i="2"/>
  <c r="AU577" i="2"/>
  <c r="AT577" i="2"/>
  <c r="AT576" i="2" s="1"/>
  <c r="AS577" i="2"/>
  <c r="AR577" i="2"/>
  <c r="AR576" i="2" s="1"/>
  <c r="AQ577" i="2"/>
  <c r="AP577" i="2"/>
  <c r="AO577" i="2"/>
  <c r="AN577" i="2"/>
  <c r="AN576" i="2" s="1"/>
  <c r="AM577" i="2"/>
  <c r="AL577" i="2"/>
  <c r="AL576" i="2" s="1"/>
  <c r="AK577" i="2"/>
  <c r="AJ577" i="2"/>
  <c r="AI577" i="2"/>
  <c r="AI576" i="2" s="1"/>
  <c r="AH577" i="2"/>
  <c r="AH576" i="2" s="1"/>
  <c r="AG577" i="2"/>
  <c r="AF577" i="2"/>
  <c r="AF576" i="2" s="1"/>
  <c r="AE577" i="2"/>
  <c r="AD577" i="2"/>
  <c r="AC577" i="2"/>
  <c r="AC576" i="2" s="1"/>
  <c r="AB577" i="2"/>
  <c r="AB576" i="2" s="1"/>
  <c r="AA577" i="2"/>
  <c r="Z577" i="2"/>
  <c r="T577" i="2"/>
  <c r="Q577" i="2"/>
  <c r="O577" i="2"/>
  <c r="X577" i="2" s="1"/>
  <c r="N577" i="2"/>
  <c r="M577" i="2"/>
  <c r="L577" i="2"/>
  <c r="K577" i="2"/>
  <c r="H577" i="2"/>
  <c r="H576" i="2" s="1"/>
  <c r="F577" i="2"/>
  <c r="E577" i="2"/>
  <c r="BK576" i="2"/>
  <c r="BE576" i="2"/>
  <c r="AY576" i="2"/>
  <c r="AW576" i="2"/>
  <c r="AS576" i="2"/>
  <c r="AK576" i="2"/>
  <c r="AG576" i="2"/>
  <c r="AE576" i="2"/>
  <c r="AD576" i="2"/>
  <c r="AA576" i="2"/>
  <c r="M576" i="2"/>
  <c r="L576" i="2"/>
  <c r="F576" i="2"/>
  <c r="BT575" i="2"/>
  <c r="BN575" i="2"/>
  <c r="X575" i="2"/>
  <c r="W575" i="2"/>
  <c r="BR575" i="2" s="1"/>
  <c r="V575" i="2"/>
  <c r="T575" i="2"/>
  <c r="S575" i="2"/>
  <c r="R575" i="2"/>
  <c r="Q575" i="2"/>
  <c r="P575" i="2"/>
  <c r="Y575" i="2" s="1"/>
  <c r="O575" i="2"/>
  <c r="U575" i="2" s="1"/>
  <c r="BQ575" i="2" s="1"/>
  <c r="G575" i="2"/>
  <c r="BO574" i="2"/>
  <c r="X574" i="2"/>
  <c r="T574" i="2"/>
  <c r="S574" i="2"/>
  <c r="V574" i="2" s="1"/>
  <c r="BT574" i="2" s="1"/>
  <c r="R574" i="2"/>
  <c r="Q574" i="2"/>
  <c r="Z574" i="2" s="1"/>
  <c r="P574" i="2"/>
  <c r="P569" i="2" s="1"/>
  <c r="Y569" i="2" s="1"/>
  <c r="O574" i="2"/>
  <c r="BN574" i="2" s="1"/>
  <c r="BP574" i="2" s="1"/>
  <c r="BU574" i="2" s="1"/>
  <c r="I574" i="2"/>
  <c r="G574" i="2"/>
  <c r="J574" i="2" s="1"/>
  <c r="BR573" i="2"/>
  <c r="Z573" i="2"/>
  <c r="Y573" i="2"/>
  <c r="X573" i="2"/>
  <c r="W573" i="2"/>
  <c r="T573" i="2"/>
  <c r="S573" i="2"/>
  <c r="V573" i="2" s="1"/>
  <c r="BT573" i="2" s="1"/>
  <c r="R573" i="2"/>
  <c r="Q573" i="2"/>
  <c r="BO573" i="2" s="1"/>
  <c r="P573" i="2"/>
  <c r="O573" i="2"/>
  <c r="BN573" i="2" s="1"/>
  <c r="BP573" i="2" s="1"/>
  <c r="J573" i="2"/>
  <c r="I573" i="2"/>
  <c r="G573" i="2"/>
  <c r="Z572" i="2"/>
  <c r="Y572" i="2"/>
  <c r="T572" i="2"/>
  <c r="S572" i="2"/>
  <c r="V572" i="2" s="1"/>
  <c r="BT572" i="2" s="1"/>
  <c r="R572" i="2"/>
  <c r="Q572" i="2"/>
  <c r="BO572" i="2" s="1"/>
  <c r="P572" i="2"/>
  <c r="O572" i="2"/>
  <c r="X572" i="2" s="1"/>
  <c r="J572" i="2"/>
  <c r="G572" i="2"/>
  <c r="I572" i="2" s="1"/>
  <c r="BT571" i="2"/>
  <c r="BO571" i="2"/>
  <c r="BH571" i="2"/>
  <c r="BE571" i="2"/>
  <c r="V571" i="2"/>
  <c r="T571" i="2"/>
  <c r="S571" i="2"/>
  <c r="R571" i="2"/>
  <c r="Q571" i="2"/>
  <c r="Z571" i="2" s="1"/>
  <c r="P571" i="2"/>
  <c r="Y571" i="2" s="1"/>
  <c r="K571" i="2"/>
  <c r="I571" i="2"/>
  <c r="G571" i="2"/>
  <c r="J571" i="2" s="1"/>
  <c r="BR570" i="2"/>
  <c r="Z570" i="2"/>
  <c r="Y570" i="2"/>
  <c r="X570" i="2"/>
  <c r="W570" i="2"/>
  <c r="T570" i="2"/>
  <c r="T569" i="2" s="1"/>
  <c r="S570" i="2"/>
  <c r="R570" i="2"/>
  <c r="Q570" i="2"/>
  <c r="BO570" i="2" s="1"/>
  <c r="P570" i="2"/>
  <c r="O570" i="2"/>
  <c r="BN570" i="2" s="1"/>
  <c r="BP570" i="2" s="1"/>
  <c r="J570" i="2"/>
  <c r="I570" i="2"/>
  <c r="G570" i="2"/>
  <c r="G569" i="2" s="1"/>
  <c r="BM569" i="2"/>
  <c r="BM554" i="2" s="1"/>
  <c r="BL569" i="2"/>
  <c r="BK569" i="2"/>
  <c r="BJ569" i="2"/>
  <c r="BI569" i="2"/>
  <c r="BH569" i="2"/>
  <c r="BG569" i="2"/>
  <c r="BG554" i="2" s="1"/>
  <c r="BF569" i="2"/>
  <c r="BD569" i="2"/>
  <c r="BC569" i="2"/>
  <c r="BB569" i="2"/>
  <c r="BA569" i="2"/>
  <c r="AZ569" i="2"/>
  <c r="AY569" i="2"/>
  <c r="AX569" i="2"/>
  <c r="AW569" i="2"/>
  <c r="AV569" i="2"/>
  <c r="AU569" i="2"/>
  <c r="AT569" i="2"/>
  <c r="AS569" i="2"/>
  <c r="AR569" i="2"/>
  <c r="AQ569" i="2"/>
  <c r="AP569" i="2"/>
  <c r="AO569" i="2"/>
  <c r="AN569" i="2"/>
  <c r="AM569" i="2"/>
  <c r="AL569" i="2"/>
  <c r="AK569" i="2"/>
  <c r="AJ569" i="2"/>
  <c r="AI569" i="2"/>
  <c r="AH569" i="2"/>
  <c r="AG569" i="2"/>
  <c r="AF569" i="2"/>
  <c r="AE569" i="2"/>
  <c r="AD569" i="2"/>
  <c r="AC569" i="2"/>
  <c r="AB569" i="2"/>
  <c r="AA569" i="2"/>
  <c r="R569" i="2"/>
  <c r="N569" i="2"/>
  <c r="M569" i="2"/>
  <c r="L569" i="2"/>
  <c r="K569" i="2"/>
  <c r="K554" i="2" s="1"/>
  <c r="H569" i="2"/>
  <c r="F569" i="2"/>
  <c r="E569" i="2"/>
  <c r="Z568" i="2"/>
  <c r="X568" i="2"/>
  <c r="W568" i="2"/>
  <c r="T568" i="2"/>
  <c r="S568" i="2"/>
  <c r="V568" i="2" s="1"/>
  <c r="BT568" i="2" s="1"/>
  <c r="R568" i="2"/>
  <c r="R566" i="2" s="1"/>
  <c r="Q568" i="2"/>
  <c r="BO568" i="2" s="1"/>
  <c r="P568" i="2"/>
  <c r="O568" i="2"/>
  <c r="BN568" i="2" s="1"/>
  <c r="BP568" i="2" s="1"/>
  <c r="G568" i="2"/>
  <c r="J568" i="2" s="1"/>
  <c r="BN567" i="2"/>
  <c r="Y567" i="2"/>
  <c r="X567" i="2"/>
  <c r="W567" i="2"/>
  <c r="BR567" i="2" s="1"/>
  <c r="T567" i="2"/>
  <c r="T566" i="2" s="1"/>
  <c r="S567" i="2"/>
  <c r="V567" i="2" s="1"/>
  <c r="V566" i="2" s="1"/>
  <c r="R567" i="2"/>
  <c r="Q567" i="2"/>
  <c r="BO567" i="2" s="1"/>
  <c r="P567" i="2"/>
  <c r="O567" i="2"/>
  <c r="U567" i="2" s="1"/>
  <c r="BQ567" i="2" s="1"/>
  <c r="J567" i="2"/>
  <c r="I567" i="2"/>
  <c r="G567" i="2"/>
  <c r="BO566" i="2"/>
  <c r="BM566" i="2"/>
  <c r="BL566" i="2"/>
  <c r="BL554" i="2" s="1"/>
  <c r="BK566" i="2"/>
  <c r="BJ566" i="2"/>
  <c r="BI566" i="2"/>
  <c r="BH566" i="2"/>
  <c r="BG566" i="2"/>
  <c r="BF566" i="2"/>
  <c r="BF554" i="2" s="1"/>
  <c r="BE566" i="2"/>
  <c r="BD566" i="2"/>
  <c r="BC566" i="2"/>
  <c r="BB566" i="2"/>
  <c r="BA566" i="2"/>
  <c r="AZ566" i="2"/>
  <c r="AZ554" i="2" s="1"/>
  <c r="AY566" i="2"/>
  <c r="AX566" i="2"/>
  <c r="AW566" i="2"/>
  <c r="AV566" i="2"/>
  <c r="AU566" i="2"/>
  <c r="AT566" i="2"/>
  <c r="AT554" i="2" s="1"/>
  <c r="AS566" i="2"/>
  <c r="AR566" i="2"/>
  <c r="AQ566" i="2"/>
  <c r="AP566" i="2"/>
  <c r="AO566" i="2"/>
  <c r="AN566" i="2"/>
  <c r="AN554" i="2" s="1"/>
  <c r="AM566" i="2"/>
  <c r="AL566" i="2"/>
  <c r="AK566" i="2"/>
  <c r="AJ566" i="2"/>
  <c r="AI566" i="2"/>
  <c r="AH566" i="2"/>
  <c r="AH554" i="2" s="1"/>
  <c r="AG566" i="2"/>
  <c r="AF566" i="2"/>
  <c r="AE566" i="2"/>
  <c r="AD566" i="2"/>
  <c r="AC566" i="2"/>
  <c r="AB566" i="2"/>
  <c r="AB554" i="2" s="1"/>
  <c r="AA566" i="2"/>
  <c r="X566" i="2"/>
  <c r="Q566" i="2"/>
  <c r="Z566" i="2" s="1"/>
  <c r="O566" i="2"/>
  <c r="N566" i="2"/>
  <c r="M566" i="2"/>
  <c r="L566" i="2"/>
  <c r="K566" i="2"/>
  <c r="H566" i="2"/>
  <c r="F566" i="2"/>
  <c r="E566" i="2"/>
  <c r="Z565" i="2"/>
  <c r="Y565" i="2"/>
  <c r="W565" i="2"/>
  <c r="BR565" i="2" s="1"/>
  <c r="T565" i="2"/>
  <c r="S565" i="2"/>
  <c r="R565" i="2"/>
  <c r="Q565" i="2"/>
  <c r="BO565" i="2" s="1"/>
  <c r="P565" i="2"/>
  <c r="O565" i="2"/>
  <c r="X565" i="2" s="1"/>
  <c r="I565" i="2"/>
  <c r="G565" i="2"/>
  <c r="J565" i="2" s="1"/>
  <c r="BR564" i="2"/>
  <c r="BO564" i="2"/>
  <c r="BN564" i="2"/>
  <c r="BP564" i="2" s="1"/>
  <c r="Z564" i="2"/>
  <c r="X564" i="2"/>
  <c r="T564" i="2"/>
  <c r="S564" i="2"/>
  <c r="V564" i="2" s="1"/>
  <c r="BT564" i="2" s="1"/>
  <c r="R564" i="2"/>
  <c r="Q564" i="2"/>
  <c r="W564" i="2" s="1"/>
  <c r="P564" i="2"/>
  <c r="Y564" i="2" s="1"/>
  <c r="O564" i="2"/>
  <c r="U564" i="2" s="1"/>
  <c r="BQ564" i="2" s="1"/>
  <c r="J564" i="2"/>
  <c r="I564" i="2"/>
  <c r="G564" i="2"/>
  <c r="BO563" i="2"/>
  <c r="BO562" i="2" s="1"/>
  <c r="AY563" i="2"/>
  <c r="Z563" i="2"/>
  <c r="X563" i="2"/>
  <c r="V563" i="2"/>
  <c r="T563" i="2"/>
  <c r="S563" i="2"/>
  <c r="R563" i="2"/>
  <c r="R562" i="2" s="1"/>
  <c r="Q563" i="2"/>
  <c r="Q562" i="2" s="1"/>
  <c r="P563" i="2"/>
  <c r="Y563" i="2" s="1"/>
  <c r="O563" i="2"/>
  <c r="BN563" i="2" s="1"/>
  <c r="G563" i="2"/>
  <c r="I563" i="2" s="1"/>
  <c r="BM562" i="2"/>
  <c r="BL562" i="2"/>
  <c r="BK562" i="2"/>
  <c r="BJ562" i="2"/>
  <c r="BI562" i="2"/>
  <c r="BH562" i="2"/>
  <c r="BG562" i="2"/>
  <c r="BF562" i="2"/>
  <c r="BE562" i="2"/>
  <c r="BD562" i="2"/>
  <c r="BC562" i="2"/>
  <c r="BB562" i="2"/>
  <c r="BA562" i="2"/>
  <c r="AZ562" i="2"/>
  <c r="AY562" i="2"/>
  <c r="AX562" i="2"/>
  <c r="AW562" i="2"/>
  <c r="AV562" i="2"/>
  <c r="AU562" i="2"/>
  <c r="AT562" i="2"/>
  <c r="AS562" i="2"/>
  <c r="AR562" i="2"/>
  <c r="AQ562" i="2"/>
  <c r="AP562" i="2"/>
  <c r="AO562" i="2"/>
  <c r="AN562" i="2"/>
  <c r="AM562" i="2"/>
  <c r="AL562" i="2"/>
  <c r="AK562" i="2"/>
  <c r="AJ562" i="2"/>
  <c r="AI562" i="2"/>
  <c r="AH562" i="2"/>
  <c r="AG562" i="2"/>
  <c r="AF562" i="2"/>
  <c r="AE562" i="2"/>
  <c r="AD562" i="2"/>
  <c r="AC562" i="2"/>
  <c r="AB562" i="2"/>
  <c r="AA562" i="2"/>
  <c r="Z562" i="2"/>
  <c r="T562" i="2"/>
  <c r="N562" i="2"/>
  <c r="M562" i="2"/>
  <c r="L562" i="2"/>
  <c r="K562" i="2"/>
  <c r="H562" i="2"/>
  <c r="G562" i="2"/>
  <c r="I562" i="2" s="1"/>
  <c r="F562" i="2"/>
  <c r="E562" i="2"/>
  <c r="BP561" i="2"/>
  <c r="BU561" i="2" s="1"/>
  <c r="BO561" i="2"/>
  <c r="Z561" i="2"/>
  <c r="X561" i="2"/>
  <c r="V561" i="2"/>
  <c r="BT561" i="2" s="1"/>
  <c r="T561" i="2"/>
  <c r="S561" i="2"/>
  <c r="R561" i="2"/>
  <c r="Q561" i="2"/>
  <c r="W561" i="2" s="1"/>
  <c r="BR561" i="2" s="1"/>
  <c r="P561" i="2"/>
  <c r="Y561" i="2" s="1"/>
  <c r="O561" i="2"/>
  <c r="BN561" i="2" s="1"/>
  <c r="E561" i="2"/>
  <c r="G561" i="2" s="1"/>
  <c r="BO560" i="2"/>
  <c r="V560" i="2"/>
  <c r="BT560" i="2" s="1"/>
  <c r="T560" i="2"/>
  <c r="S560" i="2"/>
  <c r="R560" i="2"/>
  <c r="Q560" i="2"/>
  <c r="W560" i="2" s="1"/>
  <c r="BR560" i="2" s="1"/>
  <c r="P560" i="2"/>
  <c r="Y560" i="2" s="1"/>
  <c r="O560" i="2"/>
  <c r="G560" i="2"/>
  <c r="I560" i="2" s="1"/>
  <c r="BU559" i="2"/>
  <c r="BO559" i="2"/>
  <c r="X559" i="2"/>
  <c r="V559" i="2"/>
  <c r="BT559" i="2" s="1"/>
  <c r="T559" i="2"/>
  <c r="S559" i="2"/>
  <c r="R559" i="2"/>
  <c r="Q559" i="2"/>
  <c r="Z559" i="2" s="1"/>
  <c r="P559" i="2"/>
  <c r="Y559" i="2" s="1"/>
  <c r="O559" i="2"/>
  <c r="BN559" i="2" s="1"/>
  <c r="BP559" i="2" s="1"/>
  <c r="G559" i="2"/>
  <c r="J559" i="2" s="1"/>
  <c r="E559" i="2"/>
  <c r="Z558" i="2"/>
  <c r="Y558" i="2"/>
  <c r="X558" i="2"/>
  <c r="T558" i="2"/>
  <c r="S558" i="2"/>
  <c r="V558" i="2" s="1"/>
  <c r="BT558" i="2" s="1"/>
  <c r="R558" i="2"/>
  <c r="Q558" i="2"/>
  <c r="BO558" i="2" s="1"/>
  <c r="P558" i="2"/>
  <c r="O558" i="2"/>
  <c r="BN558" i="2" s="1"/>
  <c r="BP558" i="2" s="1"/>
  <c r="BU558" i="2" s="1"/>
  <c r="G558" i="2"/>
  <c r="BR557" i="2"/>
  <c r="BO557" i="2"/>
  <c r="Z557" i="2"/>
  <c r="Y557" i="2"/>
  <c r="T557" i="2"/>
  <c r="S557" i="2"/>
  <c r="V557" i="2" s="1"/>
  <c r="BT557" i="2" s="1"/>
  <c r="R557" i="2"/>
  <c r="Q557" i="2"/>
  <c r="W557" i="2" s="1"/>
  <c r="P557" i="2"/>
  <c r="O557" i="2"/>
  <c r="I557" i="2"/>
  <c r="G557" i="2"/>
  <c r="J557" i="2" s="1"/>
  <c r="BO556" i="2"/>
  <c r="BO555" i="2" s="1"/>
  <c r="Z556" i="2"/>
  <c r="V556" i="2"/>
  <c r="T556" i="2"/>
  <c r="T555" i="2" s="1"/>
  <c r="T554" i="2" s="1"/>
  <c r="S556" i="2"/>
  <c r="S555" i="2" s="1"/>
  <c r="R556" i="2"/>
  <c r="Q556" i="2"/>
  <c r="W556" i="2" s="1"/>
  <c r="P556" i="2"/>
  <c r="O556" i="2"/>
  <c r="X556" i="2" s="1"/>
  <c r="J556" i="2"/>
  <c r="I556" i="2"/>
  <c r="G556" i="2"/>
  <c r="BM555" i="2"/>
  <c r="BL555" i="2"/>
  <c r="BK555" i="2"/>
  <c r="BK554" i="2" s="1"/>
  <c r="BJ555" i="2"/>
  <c r="BJ554" i="2" s="1"/>
  <c r="BI555" i="2"/>
  <c r="BH555" i="2"/>
  <c r="BG555" i="2"/>
  <c r="BF555" i="2"/>
  <c r="BE555" i="2"/>
  <c r="BD555" i="2"/>
  <c r="BD554" i="2" s="1"/>
  <c r="BC555" i="2"/>
  <c r="BB555" i="2"/>
  <c r="BA555" i="2"/>
  <c r="AZ555" i="2"/>
  <c r="AY555" i="2"/>
  <c r="AY554" i="2" s="1"/>
  <c r="AX555" i="2"/>
  <c r="AX554" i="2" s="1"/>
  <c r="AW555" i="2"/>
  <c r="AV555" i="2"/>
  <c r="AU555" i="2"/>
  <c r="AT555" i="2"/>
  <c r="AS555" i="2"/>
  <c r="AS554" i="2" s="1"/>
  <c r="AR555" i="2"/>
  <c r="AR554" i="2" s="1"/>
  <c r="AQ555" i="2"/>
  <c r="AP555" i="2"/>
  <c r="AO555" i="2"/>
  <c r="AN555" i="2"/>
  <c r="AM555" i="2"/>
  <c r="AM554" i="2" s="1"/>
  <c r="AL555" i="2"/>
  <c r="AL554" i="2" s="1"/>
  <c r="AK555" i="2"/>
  <c r="AJ555" i="2"/>
  <c r="AI555" i="2"/>
  <c r="AH555" i="2"/>
  <c r="AG555" i="2"/>
  <c r="AG554" i="2" s="1"/>
  <c r="AF555" i="2"/>
  <c r="AF554" i="2" s="1"/>
  <c r="AE555" i="2"/>
  <c r="AD555" i="2"/>
  <c r="AC555" i="2"/>
  <c r="AB555" i="2"/>
  <c r="AA555" i="2"/>
  <c r="AA554" i="2" s="1"/>
  <c r="R555" i="2"/>
  <c r="N555" i="2"/>
  <c r="N554" i="2" s="1"/>
  <c r="M555" i="2"/>
  <c r="L555" i="2"/>
  <c r="L554" i="2" s="1"/>
  <c r="K555" i="2"/>
  <c r="H555" i="2"/>
  <c r="H554" i="2" s="1"/>
  <c r="F555" i="2"/>
  <c r="F554" i="2" s="1"/>
  <c r="BI554" i="2"/>
  <c r="BC554" i="2"/>
  <c r="BA554" i="2"/>
  <c r="AW554" i="2"/>
  <c r="AU554" i="2"/>
  <c r="AQ554" i="2"/>
  <c r="AO554" i="2"/>
  <c r="AK554" i="2"/>
  <c r="AI554" i="2"/>
  <c r="AE554" i="2"/>
  <c r="AC554" i="2"/>
  <c r="M554" i="2"/>
  <c r="BN553" i="2"/>
  <c r="BP553" i="2" s="1"/>
  <c r="AV553" i="2"/>
  <c r="Z553" i="2"/>
  <c r="V553" i="2"/>
  <c r="BT553" i="2" s="1"/>
  <c r="T553" i="2"/>
  <c r="S553" i="2"/>
  <c r="R553" i="2"/>
  <c r="Q553" i="2"/>
  <c r="BO553" i="2" s="1"/>
  <c r="P553" i="2"/>
  <c r="Y553" i="2" s="1"/>
  <c r="O553" i="2"/>
  <c r="X553" i="2" s="1"/>
  <c r="K553" i="2"/>
  <c r="U553" i="2" s="1"/>
  <c r="BQ553" i="2" s="1"/>
  <c r="BN552" i="2"/>
  <c r="BE552" i="2"/>
  <c r="Z552" i="2"/>
  <c r="V552" i="2"/>
  <c r="V551" i="2" s="1"/>
  <c r="T552" i="2"/>
  <c r="T551" i="2" s="1"/>
  <c r="S552" i="2"/>
  <c r="R552" i="2"/>
  <c r="Q552" i="2"/>
  <c r="Q551" i="2" s="1"/>
  <c r="Z551" i="2" s="1"/>
  <c r="P552" i="2"/>
  <c r="P551" i="2" s="1"/>
  <c r="Y551" i="2" s="1"/>
  <c r="O552" i="2"/>
  <c r="X552" i="2" s="1"/>
  <c r="K552" i="2"/>
  <c r="G552" i="2"/>
  <c r="I552" i="2" s="1"/>
  <c r="BM551" i="2"/>
  <c r="BL551" i="2"/>
  <c r="BK551" i="2"/>
  <c r="BK540" i="2" s="1"/>
  <c r="BJ551" i="2"/>
  <c r="BI551" i="2"/>
  <c r="BH551" i="2"/>
  <c r="BG551" i="2"/>
  <c r="BF551" i="2"/>
  <c r="BE551" i="2"/>
  <c r="BD551" i="2"/>
  <c r="BC551" i="2"/>
  <c r="BB551" i="2"/>
  <c r="BA551" i="2"/>
  <c r="AZ551" i="2"/>
  <c r="AY551" i="2"/>
  <c r="AX551" i="2"/>
  <c r="AW551" i="2"/>
  <c r="AV551" i="2"/>
  <c r="AU551" i="2"/>
  <c r="AT551" i="2"/>
  <c r="AS551" i="2"/>
  <c r="AR551" i="2"/>
  <c r="AQ551" i="2"/>
  <c r="AP551" i="2"/>
  <c r="AO551" i="2"/>
  <c r="AN551" i="2"/>
  <c r="AM551" i="2"/>
  <c r="AL551" i="2"/>
  <c r="AK551" i="2"/>
  <c r="AJ551" i="2"/>
  <c r="AI551" i="2"/>
  <c r="AH551" i="2"/>
  <c r="AG551" i="2"/>
  <c r="AG540" i="2" s="1"/>
  <c r="AF551" i="2"/>
  <c r="AE551" i="2"/>
  <c r="AD551" i="2"/>
  <c r="AC551" i="2"/>
  <c r="AB551" i="2"/>
  <c r="AA551" i="2"/>
  <c r="AA540" i="2" s="1"/>
  <c r="S551" i="2"/>
  <c r="R551" i="2"/>
  <c r="O551" i="2"/>
  <c r="N551" i="2"/>
  <c r="M551" i="2"/>
  <c r="L551" i="2"/>
  <c r="H551" i="2"/>
  <c r="G551" i="2"/>
  <c r="F551" i="2"/>
  <c r="E551" i="2"/>
  <c r="BT550" i="2"/>
  <c r="BN550" i="2"/>
  <c r="V550" i="2"/>
  <c r="T550" i="2"/>
  <c r="S550" i="2"/>
  <c r="R550" i="2"/>
  <c r="Q550" i="2"/>
  <c r="W550" i="2" s="1"/>
  <c r="BR550" i="2" s="1"/>
  <c r="P550" i="2"/>
  <c r="Y550" i="2" s="1"/>
  <c r="O550" i="2"/>
  <c r="X550" i="2" s="1"/>
  <c r="G550" i="2"/>
  <c r="I550" i="2" s="1"/>
  <c r="BO549" i="2"/>
  <c r="X549" i="2"/>
  <c r="V549" i="2"/>
  <c r="BT549" i="2" s="1"/>
  <c r="T549" i="2"/>
  <c r="S549" i="2"/>
  <c r="R549" i="2"/>
  <c r="Q549" i="2"/>
  <c r="Z549" i="2" s="1"/>
  <c r="P549" i="2"/>
  <c r="O549" i="2"/>
  <c r="BN549" i="2" s="1"/>
  <c r="BP549" i="2" s="1"/>
  <c r="BU549" i="2" s="1"/>
  <c r="G549" i="2"/>
  <c r="J549" i="2" s="1"/>
  <c r="Y548" i="2"/>
  <c r="X548" i="2"/>
  <c r="W548" i="2"/>
  <c r="BR548" i="2" s="1"/>
  <c r="T548" i="2"/>
  <c r="S548" i="2"/>
  <c r="V548" i="2" s="1"/>
  <c r="BT548" i="2" s="1"/>
  <c r="R548" i="2"/>
  <c r="Q548" i="2"/>
  <c r="P548" i="2"/>
  <c r="O548" i="2"/>
  <c r="BN548" i="2" s="1"/>
  <c r="J548" i="2"/>
  <c r="I548" i="2"/>
  <c r="G548" i="2"/>
  <c r="Z547" i="2"/>
  <c r="Y547" i="2"/>
  <c r="X547" i="2"/>
  <c r="T547" i="2"/>
  <c r="S547" i="2"/>
  <c r="V547" i="2" s="1"/>
  <c r="BT547" i="2" s="1"/>
  <c r="R547" i="2"/>
  <c r="Q547" i="2"/>
  <c r="BO547" i="2" s="1"/>
  <c r="P547" i="2"/>
  <c r="O547" i="2"/>
  <c r="BN547" i="2" s="1"/>
  <c r="BP547" i="2" s="1"/>
  <c r="G547" i="2"/>
  <c r="BO546" i="2"/>
  <c r="Z546" i="2"/>
  <c r="Y546" i="2"/>
  <c r="T546" i="2"/>
  <c r="S546" i="2"/>
  <c r="R546" i="2"/>
  <c r="Q546" i="2"/>
  <c r="W546" i="2" s="1"/>
  <c r="BR546" i="2" s="1"/>
  <c r="P546" i="2"/>
  <c r="O546" i="2"/>
  <c r="BN546" i="2" s="1"/>
  <c r="BP546" i="2" s="1"/>
  <c r="I546" i="2"/>
  <c r="G546" i="2"/>
  <c r="J546" i="2" s="1"/>
  <c r="BH545" i="2"/>
  <c r="BH544" i="2" s="1"/>
  <c r="BH540" i="2" s="1"/>
  <c r="BE545" i="2"/>
  <c r="BE544" i="2" s="1"/>
  <c r="BB545" i="2"/>
  <c r="AY545" i="2"/>
  <c r="AY544" i="2" s="1"/>
  <c r="AV545" i="2"/>
  <c r="AV544" i="2" s="1"/>
  <c r="AS545" i="2"/>
  <c r="AP545" i="2"/>
  <c r="AP544" i="2" s="1"/>
  <c r="AP540" i="2" s="1"/>
  <c r="V545" i="2"/>
  <c r="BT545" i="2" s="1"/>
  <c r="T545" i="2"/>
  <c r="S545" i="2"/>
  <c r="R545" i="2"/>
  <c r="Q545" i="2"/>
  <c r="Q544" i="2" s="1"/>
  <c r="Z544" i="2" s="1"/>
  <c r="P545" i="2"/>
  <c r="Y545" i="2" s="1"/>
  <c r="K545" i="2"/>
  <c r="G545" i="2"/>
  <c r="J545" i="2" s="1"/>
  <c r="BM544" i="2"/>
  <c r="BL544" i="2"/>
  <c r="BK544" i="2"/>
  <c r="BJ544" i="2"/>
  <c r="BI544" i="2"/>
  <c r="BG544" i="2"/>
  <c r="BF544" i="2"/>
  <c r="BD544" i="2"/>
  <c r="BC544" i="2"/>
  <c r="BB544" i="2"/>
  <c r="BA544" i="2"/>
  <c r="AZ544" i="2"/>
  <c r="AX544" i="2"/>
  <c r="AW544" i="2"/>
  <c r="AU544" i="2"/>
  <c r="AT544" i="2"/>
  <c r="AS544" i="2"/>
  <c r="AR544" i="2"/>
  <c r="AQ544" i="2"/>
  <c r="AO544" i="2"/>
  <c r="AN544" i="2"/>
  <c r="AM544" i="2"/>
  <c r="AL544" i="2"/>
  <c r="AK544" i="2"/>
  <c r="AJ544" i="2"/>
  <c r="AI544" i="2"/>
  <c r="AH544" i="2"/>
  <c r="AG544" i="2"/>
  <c r="AF544" i="2"/>
  <c r="AE544" i="2"/>
  <c r="AD544" i="2"/>
  <c r="AC544" i="2"/>
  <c r="AB544" i="2"/>
  <c r="AA544" i="2"/>
  <c r="T544" i="2"/>
  <c r="N544" i="2"/>
  <c r="M544" i="2"/>
  <c r="L544" i="2"/>
  <c r="K544" i="2"/>
  <c r="H544" i="2"/>
  <c r="F544" i="2"/>
  <c r="E544" i="2"/>
  <c r="BO543" i="2"/>
  <c r="X543" i="2"/>
  <c r="V543" i="2"/>
  <c r="BT543" i="2" s="1"/>
  <c r="T543" i="2"/>
  <c r="S543" i="2"/>
  <c r="R543" i="2"/>
  <c r="Q543" i="2"/>
  <c r="Z543" i="2" s="1"/>
  <c r="P543" i="2"/>
  <c r="O543" i="2"/>
  <c r="BN543" i="2" s="1"/>
  <c r="G543" i="2"/>
  <c r="J543" i="2" s="1"/>
  <c r="BE542" i="2"/>
  <c r="BE541" i="2" s="1"/>
  <c r="BE540" i="2" s="1"/>
  <c r="BB542" i="2"/>
  <c r="BB541" i="2" s="1"/>
  <c r="BB540" i="2" s="1"/>
  <c r="AY542" i="2"/>
  <c r="AY541" i="2" s="1"/>
  <c r="AV542" i="2"/>
  <c r="AS542" i="2"/>
  <c r="AS541" i="2" s="1"/>
  <c r="AS540" i="2" s="1"/>
  <c r="AS539" i="2" s="1"/>
  <c r="AP542" i="2"/>
  <c r="AM542" i="2"/>
  <c r="AM541" i="2" s="1"/>
  <c r="AM540" i="2" s="1"/>
  <c r="Z542" i="2"/>
  <c r="Y542" i="2"/>
  <c r="T542" i="2"/>
  <c r="T541" i="2" s="1"/>
  <c r="T540" i="2" s="1"/>
  <c r="T539" i="2" s="1"/>
  <c r="S542" i="2"/>
  <c r="V542" i="2" s="1"/>
  <c r="R542" i="2"/>
  <c r="R541" i="2" s="1"/>
  <c r="Q542" i="2"/>
  <c r="BO542" i="2" s="1"/>
  <c r="P542" i="2"/>
  <c r="K542" i="2"/>
  <c r="I542" i="2"/>
  <c r="G542" i="2"/>
  <c r="BM541" i="2"/>
  <c r="BM540" i="2" s="1"/>
  <c r="BL541" i="2"/>
  <c r="BK541" i="2"/>
  <c r="BJ541" i="2"/>
  <c r="BJ540" i="2" s="1"/>
  <c r="BI541" i="2"/>
  <c r="BH541" i="2"/>
  <c r="BG541" i="2"/>
  <c r="BG540" i="2" s="1"/>
  <c r="BF541" i="2"/>
  <c r="BD541" i="2"/>
  <c r="BD540" i="2" s="1"/>
  <c r="BC541" i="2"/>
  <c r="BC540" i="2" s="1"/>
  <c r="BC539" i="2" s="1"/>
  <c r="BA541" i="2"/>
  <c r="BA540" i="2" s="1"/>
  <c r="BA539" i="2" s="1"/>
  <c r="AZ541" i="2"/>
  <c r="AX541" i="2"/>
  <c r="AW541" i="2"/>
  <c r="AU541" i="2"/>
  <c r="AU540" i="2" s="1"/>
  <c r="AU539" i="2" s="1"/>
  <c r="AT541" i="2"/>
  <c r="AR541" i="2"/>
  <c r="AQ541" i="2"/>
  <c r="AQ540" i="2" s="1"/>
  <c r="AQ539" i="2" s="1"/>
  <c r="AP541" i="2"/>
  <c r="AO541" i="2"/>
  <c r="AO540" i="2" s="1"/>
  <c r="AO539" i="2" s="1"/>
  <c r="AN541" i="2"/>
  <c r="AL541" i="2"/>
  <c r="AL540" i="2" s="1"/>
  <c r="AK541" i="2"/>
  <c r="AJ541" i="2"/>
  <c r="AI541" i="2"/>
  <c r="AI540" i="2" s="1"/>
  <c r="AI539" i="2" s="1"/>
  <c r="AH541" i="2"/>
  <c r="AG541" i="2"/>
  <c r="AF541" i="2"/>
  <c r="AF540" i="2" s="1"/>
  <c r="AE541" i="2"/>
  <c r="AD541" i="2"/>
  <c r="AC541" i="2"/>
  <c r="AC540" i="2" s="1"/>
  <c r="AB541" i="2"/>
  <c r="AA541" i="2"/>
  <c r="S541" i="2"/>
  <c r="Q541" i="2"/>
  <c r="N541" i="2"/>
  <c r="M541" i="2"/>
  <c r="M540" i="2" s="1"/>
  <c r="M539" i="2" s="1"/>
  <c r="L541" i="2"/>
  <c r="K541" i="2"/>
  <c r="H541" i="2"/>
  <c r="H540" i="2" s="1"/>
  <c r="G541" i="2"/>
  <c r="I541" i="2" s="1"/>
  <c r="F541" i="2"/>
  <c r="E541" i="2"/>
  <c r="E540" i="2" s="1"/>
  <c r="BL540" i="2"/>
  <c r="BL539" i="2" s="1"/>
  <c r="BF540" i="2"/>
  <c r="BF539" i="2" s="1"/>
  <c r="AZ540" i="2"/>
  <c r="AZ539" i="2" s="1"/>
  <c r="AT540" i="2"/>
  <c r="AT539" i="2" s="1"/>
  <c r="AN540" i="2"/>
  <c r="AN539" i="2" s="1"/>
  <c r="AJ540" i="2"/>
  <c r="AH540" i="2"/>
  <c r="AH539" i="2" s="1"/>
  <c r="AD540" i="2"/>
  <c r="AB540" i="2"/>
  <c r="AB539" i="2" s="1"/>
  <c r="L540" i="2"/>
  <c r="L539" i="2" s="1"/>
  <c r="F540" i="2"/>
  <c r="F539" i="2" s="1"/>
  <c r="BK539" i="2"/>
  <c r="AM539" i="2"/>
  <c r="AG539" i="2"/>
  <c r="AA539" i="2"/>
  <c r="Y538" i="2"/>
  <c r="X538" i="2"/>
  <c r="W538" i="2"/>
  <c r="BR538" i="2" s="1"/>
  <c r="T538" i="2"/>
  <c r="S538" i="2"/>
  <c r="V538" i="2" s="1"/>
  <c r="BT538" i="2" s="1"/>
  <c r="R538" i="2"/>
  <c r="Q538" i="2"/>
  <c r="P538" i="2"/>
  <c r="O538" i="2"/>
  <c r="BN538" i="2" s="1"/>
  <c r="J538" i="2"/>
  <c r="I538" i="2"/>
  <c r="G538" i="2"/>
  <c r="Z537" i="2"/>
  <c r="Y537" i="2"/>
  <c r="X537" i="2"/>
  <c r="T537" i="2"/>
  <c r="T535" i="2" s="1"/>
  <c r="S537" i="2"/>
  <c r="V537" i="2" s="1"/>
  <c r="BT537" i="2" s="1"/>
  <c r="R537" i="2"/>
  <c r="Q537" i="2"/>
  <c r="BO537" i="2" s="1"/>
  <c r="P537" i="2"/>
  <c r="O537" i="2"/>
  <c r="BN537" i="2" s="1"/>
  <c r="BP537" i="2" s="1"/>
  <c r="G537" i="2"/>
  <c r="BO536" i="2"/>
  <c r="Z536" i="2"/>
  <c r="Y536" i="2"/>
  <c r="T536" i="2"/>
  <c r="S536" i="2"/>
  <c r="R536" i="2"/>
  <c r="Q536" i="2"/>
  <c r="W536" i="2" s="1"/>
  <c r="BR536" i="2" s="1"/>
  <c r="P536" i="2"/>
  <c r="P535" i="2" s="1"/>
  <c r="Y535" i="2" s="1"/>
  <c r="O536" i="2"/>
  <c r="O535" i="2" s="1"/>
  <c r="X535" i="2" s="1"/>
  <c r="I536" i="2"/>
  <c r="G536" i="2"/>
  <c r="J536" i="2" s="1"/>
  <c r="BM535" i="2"/>
  <c r="BL535" i="2"/>
  <c r="BK535" i="2"/>
  <c r="BJ535" i="2"/>
  <c r="BI535" i="2"/>
  <c r="BH535" i="2"/>
  <c r="BG535" i="2"/>
  <c r="BF535" i="2"/>
  <c r="BE535" i="2"/>
  <c r="BD535" i="2"/>
  <c r="BC535" i="2"/>
  <c r="BB535" i="2"/>
  <c r="BA535" i="2"/>
  <c r="AZ535" i="2"/>
  <c r="AY535" i="2"/>
  <c r="AX535" i="2"/>
  <c r="AW535" i="2"/>
  <c r="AV535" i="2"/>
  <c r="AU535" i="2"/>
  <c r="AT535" i="2"/>
  <c r="AS535" i="2"/>
  <c r="AR535" i="2"/>
  <c r="AQ535" i="2"/>
  <c r="AP535" i="2"/>
  <c r="AO535" i="2"/>
  <c r="AN535" i="2"/>
  <c r="AM535" i="2"/>
  <c r="AL535" i="2"/>
  <c r="AK535" i="2"/>
  <c r="AJ535" i="2"/>
  <c r="AI535" i="2"/>
  <c r="AH535" i="2"/>
  <c r="AG535" i="2"/>
  <c r="AF535" i="2"/>
  <c r="AE535" i="2"/>
  <c r="AD535" i="2"/>
  <c r="AC535" i="2"/>
  <c r="AB535" i="2"/>
  <c r="AA535" i="2"/>
  <c r="Q535" i="2"/>
  <c r="Z535" i="2" s="1"/>
  <c r="N535" i="2"/>
  <c r="M535" i="2"/>
  <c r="L535" i="2"/>
  <c r="K535" i="2"/>
  <c r="H535" i="2"/>
  <c r="F535" i="2"/>
  <c r="E535" i="2"/>
  <c r="BO534" i="2"/>
  <c r="Z534" i="2"/>
  <c r="Y534" i="2"/>
  <c r="T534" i="2"/>
  <c r="S534" i="2"/>
  <c r="R534" i="2"/>
  <c r="R533" i="2" s="1"/>
  <c r="Q534" i="2"/>
  <c r="W534" i="2" s="1"/>
  <c r="W533" i="2" s="1"/>
  <c r="P534" i="2"/>
  <c r="P533" i="2" s="1"/>
  <c r="Y533" i="2" s="1"/>
  <c r="O534" i="2"/>
  <c r="O533" i="2" s="1"/>
  <c r="X533" i="2" s="1"/>
  <c r="I534" i="2"/>
  <c r="G534" i="2"/>
  <c r="J534" i="2" s="1"/>
  <c r="BO533" i="2"/>
  <c r="BM533" i="2"/>
  <c r="BL533" i="2"/>
  <c r="BK533" i="2"/>
  <c r="BJ533" i="2"/>
  <c r="BI533" i="2"/>
  <c r="BH533" i="2"/>
  <c r="BG533" i="2"/>
  <c r="BF533" i="2"/>
  <c r="BE533" i="2"/>
  <c r="BD533" i="2"/>
  <c r="BC533" i="2"/>
  <c r="BB533" i="2"/>
  <c r="BA533" i="2"/>
  <c r="AZ533" i="2"/>
  <c r="AY533" i="2"/>
  <c r="AX533" i="2"/>
  <c r="AW533" i="2"/>
  <c r="AV533" i="2"/>
  <c r="AU533" i="2"/>
  <c r="AT533" i="2"/>
  <c r="AS533" i="2"/>
  <c r="AR533" i="2"/>
  <c r="AQ533" i="2"/>
  <c r="AP533" i="2"/>
  <c r="AO533" i="2"/>
  <c r="AN533" i="2"/>
  <c r="AM533" i="2"/>
  <c r="AL533" i="2"/>
  <c r="AK533" i="2"/>
  <c r="AJ533" i="2"/>
  <c r="AI533" i="2"/>
  <c r="AH533" i="2"/>
  <c r="AG533" i="2"/>
  <c r="AF533" i="2"/>
  <c r="AE533" i="2"/>
  <c r="AD533" i="2"/>
  <c r="AC533" i="2"/>
  <c r="AB533" i="2"/>
  <c r="AA533" i="2"/>
  <c r="T533" i="2"/>
  <c r="Q533" i="2"/>
  <c r="Z533" i="2" s="1"/>
  <c r="N533" i="2"/>
  <c r="M533" i="2"/>
  <c r="L533" i="2"/>
  <c r="K533" i="2"/>
  <c r="H533" i="2"/>
  <c r="G533" i="2"/>
  <c r="I533" i="2" s="1"/>
  <c r="F533" i="2"/>
  <c r="E533" i="2"/>
  <c r="BR532" i="2"/>
  <c r="BO532" i="2"/>
  <c r="Z532" i="2"/>
  <c r="Y532" i="2"/>
  <c r="T532" i="2"/>
  <c r="S532" i="2"/>
  <c r="R532" i="2"/>
  <c r="Q532" i="2"/>
  <c r="W532" i="2" s="1"/>
  <c r="P532" i="2"/>
  <c r="O532" i="2"/>
  <c r="BN532" i="2" s="1"/>
  <c r="BP532" i="2" s="1"/>
  <c r="I532" i="2"/>
  <c r="G532" i="2"/>
  <c r="J532" i="2" s="1"/>
  <c r="BO531" i="2"/>
  <c r="Z531" i="2"/>
  <c r="V531" i="2"/>
  <c r="BT531" i="2" s="1"/>
  <c r="T531" i="2"/>
  <c r="S531" i="2"/>
  <c r="R531" i="2"/>
  <c r="Q531" i="2"/>
  <c r="W531" i="2" s="1"/>
  <c r="BR531" i="2" s="1"/>
  <c r="P531" i="2"/>
  <c r="Y531" i="2" s="1"/>
  <c r="O531" i="2"/>
  <c r="X531" i="2" s="1"/>
  <c r="J531" i="2"/>
  <c r="I531" i="2"/>
  <c r="G531" i="2"/>
  <c r="BT530" i="2"/>
  <c r="BN530" i="2"/>
  <c r="V530" i="2"/>
  <c r="T530" i="2"/>
  <c r="S530" i="2"/>
  <c r="R530" i="2"/>
  <c r="Q530" i="2"/>
  <c r="W530" i="2" s="1"/>
  <c r="BR530" i="2" s="1"/>
  <c r="P530" i="2"/>
  <c r="Y530" i="2" s="1"/>
  <c r="O530" i="2"/>
  <c r="X530" i="2" s="1"/>
  <c r="G530" i="2"/>
  <c r="I530" i="2" s="1"/>
  <c r="BO529" i="2"/>
  <c r="X529" i="2"/>
  <c r="V529" i="2"/>
  <c r="BT529" i="2" s="1"/>
  <c r="T529" i="2"/>
  <c r="S529" i="2"/>
  <c r="R529" i="2"/>
  <c r="Q529" i="2"/>
  <c r="Z529" i="2" s="1"/>
  <c r="P529" i="2"/>
  <c r="O529" i="2"/>
  <c r="BN529" i="2" s="1"/>
  <c r="BP529" i="2" s="1"/>
  <c r="BU529" i="2" s="1"/>
  <c r="G529" i="2"/>
  <c r="J529" i="2" s="1"/>
  <c r="BB528" i="2"/>
  <c r="BB527" i="2" s="1"/>
  <c r="BB526" i="2" s="1"/>
  <c r="Z528" i="2"/>
  <c r="Y528" i="2"/>
  <c r="X528" i="2"/>
  <c r="T528" i="2"/>
  <c r="T527" i="2" s="1"/>
  <c r="T526" i="2" s="1"/>
  <c r="S528" i="2"/>
  <c r="V528" i="2" s="1"/>
  <c r="R528" i="2"/>
  <c r="R527" i="2" s="1"/>
  <c r="Q528" i="2"/>
  <c r="BO528" i="2" s="1"/>
  <c r="BP528" i="2" s="1"/>
  <c r="P528" i="2"/>
  <c r="O528" i="2"/>
  <c r="BN528" i="2" s="1"/>
  <c r="K528" i="2"/>
  <c r="U528" i="2" s="1"/>
  <c r="I528" i="2"/>
  <c r="G528" i="2"/>
  <c r="J528" i="2" s="1"/>
  <c r="BM527" i="2"/>
  <c r="BM526" i="2" s="1"/>
  <c r="BM513" i="2" s="1"/>
  <c r="BL527" i="2"/>
  <c r="BK527" i="2"/>
  <c r="BJ527" i="2"/>
  <c r="BJ526" i="2" s="1"/>
  <c r="BI527" i="2"/>
  <c r="BI526" i="2" s="1"/>
  <c r="BH527" i="2"/>
  <c r="BG527" i="2"/>
  <c r="BG526" i="2" s="1"/>
  <c r="BF527" i="2"/>
  <c r="BE527" i="2"/>
  <c r="BD527" i="2"/>
  <c r="BD526" i="2" s="1"/>
  <c r="BC527" i="2"/>
  <c r="BC526" i="2" s="1"/>
  <c r="BA527" i="2"/>
  <c r="BA526" i="2" s="1"/>
  <c r="BA513" i="2" s="1"/>
  <c r="BA512" i="2" s="1"/>
  <c r="AZ527" i="2"/>
  <c r="AY527" i="2"/>
  <c r="AX527" i="2"/>
  <c r="AX526" i="2" s="1"/>
  <c r="AW527" i="2"/>
  <c r="AW526" i="2" s="1"/>
  <c r="AV527" i="2"/>
  <c r="AU527" i="2"/>
  <c r="AU526" i="2" s="1"/>
  <c r="AT527" i="2"/>
  <c r="AS527" i="2"/>
  <c r="AR527" i="2"/>
  <c r="AR526" i="2" s="1"/>
  <c r="AQ527" i="2"/>
  <c r="AQ526" i="2" s="1"/>
  <c r="AP527" i="2"/>
  <c r="AO527" i="2"/>
  <c r="AO526" i="2" s="1"/>
  <c r="AO513" i="2" s="1"/>
  <c r="AN527" i="2"/>
  <c r="AM527" i="2"/>
  <c r="AL527" i="2"/>
  <c r="AL526" i="2" s="1"/>
  <c r="AK527" i="2"/>
  <c r="AK526" i="2" s="1"/>
  <c r="AJ527" i="2"/>
  <c r="AI527" i="2"/>
  <c r="AI526" i="2" s="1"/>
  <c r="AH527" i="2"/>
  <c r="AG527" i="2"/>
  <c r="AF527" i="2"/>
  <c r="AF526" i="2" s="1"/>
  <c r="AE527" i="2"/>
  <c r="AE526" i="2" s="1"/>
  <c r="AD527" i="2"/>
  <c r="AC527" i="2"/>
  <c r="AC526" i="2" s="1"/>
  <c r="AC513" i="2" s="1"/>
  <c r="AB527" i="2"/>
  <c r="AA527" i="2"/>
  <c r="Q527" i="2"/>
  <c r="N527" i="2"/>
  <c r="N526" i="2" s="1"/>
  <c r="M527" i="2"/>
  <c r="M526" i="2" s="1"/>
  <c r="L527" i="2"/>
  <c r="K527" i="2"/>
  <c r="K526" i="2" s="1"/>
  <c r="H527" i="2"/>
  <c r="H526" i="2" s="1"/>
  <c r="H513" i="2" s="1"/>
  <c r="G527" i="2"/>
  <c r="I527" i="2" s="1"/>
  <c r="F527" i="2"/>
  <c r="E527" i="2"/>
  <c r="BL526" i="2"/>
  <c r="BK526" i="2"/>
  <c r="BH526" i="2"/>
  <c r="BF526" i="2"/>
  <c r="BE526" i="2"/>
  <c r="AZ526" i="2"/>
  <c r="AY526" i="2"/>
  <c r="AV526" i="2"/>
  <c r="AT526" i="2"/>
  <c r="AS526" i="2"/>
  <c r="AP526" i="2"/>
  <c r="AN526" i="2"/>
  <c r="AM526" i="2"/>
  <c r="AJ526" i="2"/>
  <c r="AH526" i="2"/>
  <c r="AG526" i="2"/>
  <c r="AD526" i="2"/>
  <c r="AB526" i="2"/>
  <c r="AA526" i="2"/>
  <c r="L526" i="2"/>
  <c r="F526" i="2"/>
  <c r="Z525" i="2"/>
  <c r="Y525" i="2"/>
  <c r="X525" i="2"/>
  <c r="T525" i="2"/>
  <c r="T524" i="2" s="1"/>
  <c r="S525" i="2"/>
  <c r="V525" i="2" s="1"/>
  <c r="R525" i="2"/>
  <c r="Q525" i="2"/>
  <c r="BO525" i="2" s="1"/>
  <c r="BO524" i="2" s="1"/>
  <c r="P525" i="2"/>
  <c r="O525" i="2"/>
  <c r="BN525" i="2" s="1"/>
  <c r="BP525" i="2" s="1"/>
  <c r="G525" i="2"/>
  <c r="BM524" i="2"/>
  <c r="BL524" i="2"/>
  <c r="BK524" i="2"/>
  <c r="BJ524" i="2"/>
  <c r="BI524" i="2"/>
  <c r="BH524" i="2"/>
  <c r="BG524" i="2"/>
  <c r="BF524" i="2"/>
  <c r="BE524" i="2"/>
  <c r="BD524" i="2"/>
  <c r="BC524" i="2"/>
  <c r="BB524" i="2"/>
  <c r="BA524" i="2"/>
  <c r="AZ524" i="2"/>
  <c r="AY524" i="2"/>
  <c r="AX524" i="2"/>
  <c r="AW524" i="2"/>
  <c r="AV524" i="2"/>
  <c r="AU524" i="2"/>
  <c r="AT524" i="2"/>
  <c r="AS524" i="2"/>
  <c r="AR524" i="2"/>
  <c r="AQ524" i="2"/>
  <c r="AP524" i="2"/>
  <c r="AO524" i="2"/>
  <c r="AN524" i="2"/>
  <c r="AM524" i="2"/>
  <c r="AL524" i="2"/>
  <c r="AK524" i="2"/>
  <c r="AJ524" i="2"/>
  <c r="AI524" i="2"/>
  <c r="AH524" i="2"/>
  <c r="AG524" i="2"/>
  <c r="AF524" i="2"/>
  <c r="AE524" i="2"/>
  <c r="AD524" i="2"/>
  <c r="AC524" i="2"/>
  <c r="AB524" i="2"/>
  <c r="AA524" i="2"/>
  <c r="S524" i="2"/>
  <c r="R524" i="2"/>
  <c r="P524" i="2"/>
  <c r="Y524" i="2" s="1"/>
  <c r="N524" i="2"/>
  <c r="M524" i="2"/>
  <c r="L524" i="2"/>
  <c r="K524" i="2"/>
  <c r="H524" i="2"/>
  <c r="F524" i="2"/>
  <c r="E524" i="2"/>
  <c r="Z523" i="2"/>
  <c r="Y523" i="2"/>
  <c r="X523" i="2"/>
  <c r="T523" i="2"/>
  <c r="T522" i="2" s="1"/>
  <c r="S523" i="2"/>
  <c r="V523" i="2" s="1"/>
  <c r="BT523" i="2" s="1"/>
  <c r="R523" i="2"/>
  <c r="R522" i="2" s="1"/>
  <c r="Q523" i="2"/>
  <c r="BO523" i="2" s="1"/>
  <c r="BO522" i="2" s="1"/>
  <c r="P523" i="2"/>
  <c r="O523" i="2"/>
  <c r="BN523" i="2" s="1"/>
  <c r="BP523" i="2" s="1"/>
  <c r="G523" i="2"/>
  <c r="BT522" i="2"/>
  <c r="BN522" i="2"/>
  <c r="BM522" i="2"/>
  <c r="BL522" i="2"/>
  <c r="BK522" i="2"/>
  <c r="BJ522" i="2"/>
  <c r="BI522" i="2"/>
  <c r="BH522" i="2"/>
  <c r="BG522" i="2"/>
  <c r="BF522" i="2"/>
  <c r="BE522" i="2"/>
  <c r="BD522" i="2"/>
  <c r="BC522" i="2"/>
  <c r="BB522" i="2"/>
  <c r="BA522" i="2"/>
  <c r="AZ522" i="2"/>
  <c r="AY522" i="2"/>
  <c r="AX522" i="2"/>
  <c r="AW522" i="2"/>
  <c r="AV522" i="2"/>
  <c r="AV514" i="2" s="1"/>
  <c r="AV513" i="2" s="1"/>
  <c r="AU522" i="2"/>
  <c r="AT522" i="2"/>
  <c r="AS522" i="2"/>
  <c r="AR522" i="2"/>
  <c r="AQ522" i="2"/>
  <c r="AP522" i="2"/>
  <c r="AO522" i="2"/>
  <c r="AN522" i="2"/>
  <c r="AM522" i="2"/>
  <c r="AL522" i="2"/>
  <c r="AK522" i="2"/>
  <c r="AJ522" i="2"/>
  <c r="AI522" i="2"/>
  <c r="AH522" i="2"/>
  <c r="AG522" i="2"/>
  <c r="AF522" i="2"/>
  <c r="AE522" i="2"/>
  <c r="AD522" i="2"/>
  <c r="AD514" i="2" s="1"/>
  <c r="AD513" i="2" s="1"/>
  <c r="AC522" i="2"/>
  <c r="AB522" i="2"/>
  <c r="AA522" i="2"/>
  <c r="S522" i="2"/>
  <c r="P522" i="2"/>
  <c r="Y522" i="2" s="1"/>
  <c r="N522" i="2"/>
  <c r="M522" i="2"/>
  <c r="L522" i="2"/>
  <c r="K522" i="2"/>
  <c r="H522" i="2"/>
  <c r="F522" i="2"/>
  <c r="E522" i="2"/>
  <c r="Z521" i="2"/>
  <c r="Y521" i="2"/>
  <c r="X521" i="2"/>
  <c r="T521" i="2"/>
  <c r="S521" i="2"/>
  <c r="V521" i="2" s="1"/>
  <c r="R521" i="2"/>
  <c r="Q521" i="2"/>
  <c r="BO521" i="2" s="1"/>
  <c r="P521" i="2"/>
  <c r="O521" i="2"/>
  <c r="BN521" i="2" s="1"/>
  <c r="BP521" i="2" s="1"/>
  <c r="BU521" i="2" s="1"/>
  <c r="G521" i="2"/>
  <c r="BT520" i="2"/>
  <c r="BN520" i="2"/>
  <c r="BH520" i="2"/>
  <c r="BB520" i="2"/>
  <c r="W520" i="2"/>
  <c r="BR520" i="2" s="1"/>
  <c r="V520" i="2"/>
  <c r="T520" i="2"/>
  <c r="T518" i="2" s="1"/>
  <c r="S520" i="2"/>
  <c r="R520" i="2"/>
  <c r="Q520" i="2"/>
  <c r="P520" i="2"/>
  <c r="Y520" i="2" s="1"/>
  <c r="O520" i="2"/>
  <c r="G520" i="2"/>
  <c r="I520" i="2" s="1"/>
  <c r="BO519" i="2"/>
  <c r="X519" i="2"/>
  <c r="V519" i="2"/>
  <c r="BT519" i="2" s="1"/>
  <c r="T519" i="2"/>
  <c r="S519" i="2"/>
  <c r="R519" i="2"/>
  <c r="R518" i="2" s="1"/>
  <c r="Q519" i="2"/>
  <c r="Z519" i="2" s="1"/>
  <c r="P519" i="2"/>
  <c r="Y519" i="2" s="1"/>
  <c r="O519" i="2"/>
  <c r="BN519" i="2" s="1"/>
  <c r="BP519" i="2" s="1"/>
  <c r="BU519" i="2" s="1"/>
  <c r="K519" i="2"/>
  <c r="F519" i="2"/>
  <c r="BM518" i="2"/>
  <c r="BL518" i="2"/>
  <c r="BK518" i="2"/>
  <c r="BJ518" i="2"/>
  <c r="BI518" i="2"/>
  <c r="BH518" i="2"/>
  <c r="BH514" i="2" s="1"/>
  <c r="BH513" i="2" s="1"/>
  <c r="BG518" i="2"/>
  <c r="BF518" i="2"/>
  <c r="BE518" i="2"/>
  <c r="BD518" i="2"/>
  <c r="BC518" i="2"/>
  <c r="BB518" i="2"/>
  <c r="BB514" i="2" s="1"/>
  <c r="BB513" i="2" s="1"/>
  <c r="BA518" i="2"/>
  <c r="AZ518" i="2"/>
  <c r="AY518" i="2"/>
  <c r="AX518" i="2"/>
  <c r="AW518" i="2"/>
  <c r="AV518" i="2"/>
  <c r="AU518" i="2"/>
  <c r="AT518" i="2"/>
  <c r="AS518" i="2"/>
  <c r="AR518" i="2"/>
  <c r="AQ518" i="2"/>
  <c r="AP518" i="2"/>
  <c r="AP514" i="2" s="1"/>
  <c r="AP513" i="2" s="1"/>
  <c r="AO518" i="2"/>
  <c r="AN518" i="2"/>
  <c r="AM518" i="2"/>
  <c r="AL518" i="2"/>
  <c r="AK518" i="2"/>
  <c r="AJ518" i="2"/>
  <c r="AJ514" i="2" s="1"/>
  <c r="AJ513" i="2" s="1"/>
  <c r="AI518" i="2"/>
  <c r="AH518" i="2"/>
  <c r="AG518" i="2"/>
  <c r="AF518" i="2"/>
  <c r="AE518" i="2"/>
  <c r="AD518" i="2"/>
  <c r="AC518" i="2"/>
  <c r="AB518" i="2"/>
  <c r="AA518" i="2"/>
  <c r="S518" i="2"/>
  <c r="N518" i="2"/>
  <c r="M518" i="2"/>
  <c r="L518" i="2"/>
  <c r="L514" i="2" s="1"/>
  <c r="L513" i="2" s="1"/>
  <c r="L512" i="2" s="1"/>
  <c r="K518" i="2"/>
  <c r="H518" i="2"/>
  <c r="E518" i="2"/>
  <c r="BT517" i="2"/>
  <c r="BQ517" i="2"/>
  <c r="BN517" i="2"/>
  <c r="Z517" i="2"/>
  <c r="Y517" i="2"/>
  <c r="X517" i="2"/>
  <c r="T517" i="2"/>
  <c r="S517" i="2"/>
  <c r="V517" i="2" s="1"/>
  <c r="R517" i="2"/>
  <c r="R515" i="2" s="1"/>
  <c r="Q517" i="2"/>
  <c r="BO517" i="2" s="1"/>
  <c r="P517" i="2"/>
  <c r="O517" i="2"/>
  <c r="U517" i="2" s="1"/>
  <c r="J517" i="2"/>
  <c r="G517" i="2"/>
  <c r="I517" i="2" s="1"/>
  <c r="BH516" i="2"/>
  <c r="BE516" i="2"/>
  <c r="BE515" i="2" s="1"/>
  <c r="BE514" i="2" s="1"/>
  <c r="BE513" i="2" s="1"/>
  <c r="BB516" i="2"/>
  <c r="AV516" i="2"/>
  <c r="AP516" i="2"/>
  <c r="AP515" i="2" s="1"/>
  <c r="AM516" i="2"/>
  <c r="O516" i="2" s="1"/>
  <c r="X516" i="2" s="1"/>
  <c r="AG516" i="2"/>
  <c r="V516" i="2"/>
  <c r="BT516" i="2" s="1"/>
  <c r="BT515" i="2" s="1"/>
  <c r="T516" i="2"/>
  <c r="S516" i="2"/>
  <c r="R516" i="2"/>
  <c r="Q516" i="2"/>
  <c r="Q515" i="2" s="1"/>
  <c r="P516" i="2"/>
  <c r="Y516" i="2" s="1"/>
  <c r="K516" i="2"/>
  <c r="G516" i="2"/>
  <c r="BM515" i="2"/>
  <c r="BL515" i="2"/>
  <c r="BL514" i="2" s="1"/>
  <c r="BL513" i="2" s="1"/>
  <c r="BK515" i="2"/>
  <c r="BK514" i="2" s="1"/>
  <c r="BK513" i="2" s="1"/>
  <c r="BJ515" i="2"/>
  <c r="BI515" i="2"/>
  <c r="BI514" i="2" s="1"/>
  <c r="BI513" i="2" s="1"/>
  <c r="BH515" i="2"/>
  <c r="BG515" i="2"/>
  <c r="BF515" i="2"/>
  <c r="BF514" i="2" s="1"/>
  <c r="BF513" i="2" s="1"/>
  <c r="BF512" i="2" s="1"/>
  <c r="BD515" i="2"/>
  <c r="BC515" i="2"/>
  <c r="BC514" i="2" s="1"/>
  <c r="BB515" i="2"/>
  <c r="BA515" i="2"/>
  <c r="AZ515" i="2"/>
  <c r="AZ514" i="2" s="1"/>
  <c r="AZ513" i="2" s="1"/>
  <c r="AY515" i="2"/>
  <c r="AX515" i="2"/>
  <c r="AW515" i="2"/>
  <c r="AW514" i="2" s="1"/>
  <c r="AW513" i="2" s="1"/>
  <c r="AV515" i="2"/>
  <c r="AU515" i="2"/>
  <c r="AT515" i="2"/>
  <c r="AT514" i="2" s="1"/>
  <c r="AT513" i="2" s="1"/>
  <c r="AT512" i="2" s="1"/>
  <c r="AS515" i="2"/>
  <c r="AS514" i="2" s="1"/>
  <c r="AS513" i="2" s="1"/>
  <c r="AS512" i="2" s="1"/>
  <c r="AR515" i="2"/>
  <c r="AQ515" i="2"/>
  <c r="AQ514" i="2" s="1"/>
  <c r="AO515" i="2"/>
  <c r="AN515" i="2"/>
  <c r="AN514" i="2" s="1"/>
  <c r="AM515" i="2"/>
  <c r="AM514" i="2" s="1"/>
  <c r="AM513" i="2" s="1"/>
  <c r="AL515" i="2"/>
  <c r="AK515" i="2"/>
  <c r="AK514" i="2" s="1"/>
  <c r="AK513" i="2" s="1"/>
  <c r="AJ515" i="2"/>
  <c r="AI515" i="2"/>
  <c r="AH515" i="2"/>
  <c r="AH514" i="2" s="1"/>
  <c r="AH513" i="2" s="1"/>
  <c r="AG515" i="2"/>
  <c r="AG514" i="2" s="1"/>
  <c r="AG513" i="2" s="1"/>
  <c r="AF515" i="2"/>
  <c r="AE515" i="2"/>
  <c r="AE514" i="2" s="1"/>
  <c r="AE513" i="2" s="1"/>
  <c r="AD515" i="2"/>
  <c r="AC515" i="2"/>
  <c r="AB515" i="2"/>
  <c r="AB514" i="2" s="1"/>
  <c r="AA515" i="2"/>
  <c r="AA514" i="2" s="1"/>
  <c r="AA513" i="2" s="1"/>
  <c r="AA512" i="2" s="1"/>
  <c r="V515" i="2"/>
  <c r="S515" i="2"/>
  <c r="S514" i="2" s="1"/>
  <c r="O515" i="2"/>
  <c r="N515" i="2"/>
  <c r="M515" i="2"/>
  <c r="M514" i="2" s="1"/>
  <c r="M513" i="2" s="1"/>
  <c r="M512" i="2" s="1"/>
  <c r="L515" i="2"/>
  <c r="J515" i="2"/>
  <c r="H515" i="2"/>
  <c r="G515" i="2"/>
  <c r="F515" i="2"/>
  <c r="E515" i="2"/>
  <c r="BM514" i="2"/>
  <c r="BJ514" i="2"/>
  <c r="BG514" i="2"/>
  <c r="BD514" i="2"/>
  <c r="BD513" i="2" s="1"/>
  <c r="BA514" i="2"/>
  <c r="AY514" i="2"/>
  <c r="AY513" i="2" s="1"/>
  <c r="AX514" i="2"/>
  <c r="AU514" i="2"/>
  <c r="AR514" i="2"/>
  <c r="AR513" i="2" s="1"/>
  <c r="AO514" i="2"/>
  <c r="AL514" i="2"/>
  <c r="AI514" i="2"/>
  <c r="AF514" i="2"/>
  <c r="AF513" i="2" s="1"/>
  <c r="AC514" i="2"/>
  <c r="N514" i="2"/>
  <c r="H514" i="2"/>
  <c r="E514" i="2"/>
  <c r="BJ513" i="2"/>
  <c r="BG513" i="2"/>
  <c r="BC513" i="2"/>
  <c r="AX513" i="2"/>
  <c r="AU513" i="2"/>
  <c r="AQ513" i="2"/>
  <c r="AL513" i="2"/>
  <c r="AI513" i="2"/>
  <c r="AI512" i="2" s="1"/>
  <c r="N513" i="2"/>
  <c r="AH512" i="2"/>
  <c r="BJ510" i="2"/>
  <c r="Q510" i="2" s="1"/>
  <c r="V510" i="2"/>
  <c r="T510" i="2"/>
  <c r="S510" i="2"/>
  <c r="S508" i="2" s="1"/>
  <c r="R510" i="2"/>
  <c r="P510" i="2"/>
  <c r="Y510" i="2" s="1"/>
  <c r="O510" i="2"/>
  <c r="N510" i="2"/>
  <c r="J510" i="2"/>
  <c r="I510" i="2"/>
  <c r="G510" i="2"/>
  <c r="BT509" i="2"/>
  <c r="W509" i="2"/>
  <c r="V509" i="2"/>
  <c r="T509" i="2"/>
  <c r="S509" i="2"/>
  <c r="R509" i="2"/>
  <c r="R508" i="2" s="1"/>
  <c r="Q509" i="2"/>
  <c r="P509" i="2"/>
  <c r="Y509" i="2" s="1"/>
  <c r="O509" i="2"/>
  <c r="BN509" i="2" s="1"/>
  <c r="N509" i="2"/>
  <c r="I509" i="2"/>
  <c r="G509" i="2"/>
  <c r="BM508" i="2"/>
  <c r="BM505" i="2" s="1"/>
  <c r="BL508" i="2"/>
  <c r="BK508" i="2"/>
  <c r="BI508" i="2"/>
  <c r="BH508" i="2"/>
  <c r="BG508" i="2"/>
  <c r="BF508" i="2"/>
  <c r="BE508" i="2"/>
  <c r="BD508" i="2"/>
  <c r="BD505" i="2" s="1"/>
  <c r="BC508" i="2"/>
  <c r="BB508" i="2"/>
  <c r="BA508" i="2"/>
  <c r="BA505" i="2" s="1"/>
  <c r="AZ508" i="2"/>
  <c r="AY508" i="2"/>
  <c r="AX508" i="2"/>
  <c r="AX505" i="2" s="1"/>
  <c r="AW508" i="2"/>
  <c r="AV508" i="2"/>
  <c r="AU508" i="2"/>
  <c r="AT508" i="2"/>
  <c r="AS508" i="2"/>
  <c r="AR508" i="2"/>
  <c r="AR505" i="2" s="1"/>
  <c r="AQ508" i="2"/>
  <c r="AP508" i="2"/>
  <c r="AO508" i="2"/>
  <c r="AO505" i="2" s="1"/>
  <c r="AN508" i="2"/>
  <c r="AM508" i="2"/>
  <c r="AL508" i="2"/>
  <c r="AL505" i="2" s="1"/>
  <c r="AK508" i="2"/>
  <c r="AJ508" i="2"/>
  <c r="AI508" i="2"/>
  <c r="AH508" i="2"/>
  <c r="AG508" i="2"/>
  <c r="AF508" i="2"/>
  <c r="AF505" i="2" s="1"/>
  <c r="AE508" i="2"/>
  <c r="AD508" i="2"/>
  <c r="AC508" i="2"/>
  <c r="AC505" i="2" s="1"/>
  <c r="AB508" i="2"/>
  <c r="AA508" i="2"/>
  <c r="T508" i="2"/>
  <c r="P508" i="2"/>
  <c r="Y508" i="2" s="1"/>
  <c r="N508" i="2"/>
  <c r="M508" i="2"/>
  <c r="L508" i="2"/>
  <c r="K508" i="2"/>
  <c r="H508" i="2"/>
  <c r="H505" i="2" s="1"/>
  <c r="H490" i="2" s="1"/>
  <c r="F508" i="2"/>
  <c r="E508" i="2"/>
  <c r="E505" i="2" s="1"/>
  <c r="BQ507" i="2"/>
  <c r="BO507" i="2"/>
  <c r="BN507" i="2"/>
  <c r="BP507" i="2" s="1"/>
  <c r="BP506" i="2" s="1"/>
  <c r="BG507" i="2"/>
  <c r="Y507" i="2"/>
  <c r="X507" i="2"/>
  <c r="T507" i="2"/>
  <c r="T506" i="2" s="1"/>
  <c r="T505" i="2" s="1"/>
  <c r="S507" i="2"/>
  <c r="V507" i="2" s="1"/>
  <c r="BT507" i="2" s="1"/>
  <c r="R507" i="2"/>
  <c r="Q507" i="2"/>
  <c r="Q506" i="2" s="1"/>
  <c r="P507" i="2"/>
  <c r="O507" i="2"/>
  <c r="U507" i="2" s="1"/>
  <c r="U506" i="2" s="1"/>
  <c r="N507" i="2"/>
  <c r="N506" i="2" s="1"/>
  <c r="N505" i="2" s="1"/>
  <c r="N490" i="2" s="1"/>
  <c r="G507" i="2"/>
  <c r="I507" i="2" s="1"/>
  <c r="BT506" i="2"/>
  <c r="BO506" i="2"/>
  <c r="BN506" i="2"/>
  <c r="BM506" i="2"/>
  <c r="BL506" i="2"/>
  <c r="BL505" i="2" s="1"/>
  <c r="BK506" i="2"/>
  <c r="BJ506" i="2"/>
  <c r="BI506" i="2"/>
  <c r="BI505" i="2" s="1"/>
  <c r="BH506" i="2"/>
  <c r="BH505" i="2" s="1"/>
  <c r="BG506" i="2"/>
  <c r="BF506" i="2"/>
  <c r="BF505" i="2" s="1"/>
  <c r="BE506" i="2"/>
  <c r="BD506" i="2"/>
  <c r="BC506" i="2"/>
  <c r="BC505" i="2" s="1"/>
  <c r="BB506" i="2"/>
  <c r="BA506" i="2"/>
  <c r="AZ506" i="2"/>
  <c r="AZ505" i="2" s="1"/>
  <c r="AY506" i="2"/>
  <c r="AX506" i="2"/>
  <c r="AW506" i="2"/>
  <c r="AW505" i="2" s="1"/>
  <c r="AV506" i="2"/>
  <c r="AV505" i="2" s="1"/>
  <c r="AU506" i="2"/>
  <c r="AT506" i="2"/>
  <c r="AT505" i="2" s="1"/>
  <c r="AS506" i="2"/>
  <c r="AR506" i="2"/>
  <c r="AQ506" i="2"/>
  <c r="AQ505" i="2" s="1"/>
  <c r="AP506" i="2"/>
  <c r="AO506" i="2"/>
  <c r="AN506" i="2"/>
  <c r="AN505" i="2" s="1"/>
  <c r="AM506" i="2"/>
  <c r="AL506" i="2"/>
  <c r="AK506" i="2"/>
  <c r="AK505" i="2" s="1"/>
  <c r="AJ506" i="2"/>
  <c r="AJ505" i="2" s="1"/>
  <c r="AI506" i="2"/>
  <c r="AH506" i="2"/>
  <c r="AH505" i="2" s="1"/>
  <c r="AG506" i="2"/>
  <c r="AF506" i="2"/>
  <c r="AE506" i="2"/>
  <c r="AE505" i="2" s="1"/>
  <c r="AD506" i="2"/>
  <c r="AC506" i="2"/>
  <c r="AB506" i="2"/>
  <c r="AB505" i="2" s="1"/>
  <c r="AA506" i="2"/>
  <c r="X506" i="2"/>
  <c r="V506" i="2"/>
  <c r="S506" i="2"/>
  <c r="S505" i="2" s="1"/>
  <c r="R506" i="2"/>
  <c r="P506" i="2"/>
  <c r="O506" i="2"/>
  <c r="M506" i="2"/>
  <c r="M505" i="2" s="1"/>
  <c r="L506" i="2"/>
  <c r="L505" i="2" s="1"/>
  <c r="K506" i="2"/>
  <c r="H506" i="2"/>
  <c r="F506" i="2"/>
  <c r="E506" i="2"/>
  <c r="BK505" i="2"/>
  <c r="BG505" i="2"/>
  <c r="BE505" i="2"/>
  <c r="BB505" i="2"/>
  <c r="AY505" i="2"/>
  <c r="AU505" i="2"/>
  <c r="AS505" i="2"/>
  <c r="AP505" i="2"/>
  <c r="AM505" i="2"/>
  <c r="AI505" i="2"/>
  <c r="AG505" i="2"/>
  <c r="AD505" i="2"/>
  <c r="AA505" i="2"/>
  <c r="R505" i="2"/>
  <c r="K505" i="2"/>
  <c r="F505" i="2"/>
  <c r="Y504" i="2"/>
  <c r="T504" i="2"/>
  <c r="S504" i="2"/>
  <c r="R504" i="2"/>
  <c r="Q504" i="2"/>
  <c r="BO504" i="2" s="1"/>
  <c r="BO502" i="2" s="1"/>
  <c r="P504" i="2"/>
  <c r="O504" i="2"/>
  <c r="BN504" i="2" s="1"/>
  <c r="BP504" i="2" s="1"/>
  <c r="J504" i="2"/>
  <c r="I504" i="2"/>
  <c r="G504" i="2"/>
  <c r="BT503" i="2"/>
  <c r="BN503" i="2"/>
  <c r="Z503" i="2"/>
  <c r="X503" i="2"/>
  <c r="T503" i="2"/>
  <c r="T502" i="2" s="1"/>
  <c r="S503" i="2"/>
  <c r="V503" i="2" s="1"/>
  <c r="R503" i="2"/>
  <c r="Q503" i="2"/>
  <c r="BO503" i="2" s="1"/>
  <c r="P503" i="2"/>
  <c r="Y503" i="2" s="1"/>
  <c r="O503" i="2"/>
  <c r="O502" i="2" s="1"/>
  <c r="J503" i="2"/>
  <c r="G503" i="2"/>
  <c r="I503" i="2" s="1"/>
  <c r="BM502" i="2"/>
  <c r="BL502" i="2"/>
  <c r="BL490" i="2" s="1"/>
  <c r="BK502" i="2"/>
  <c r="BJ502" i="2"/>
  <c r="BI502" i="2"/>
  <c r="BH502" i="2"/>
  <c r="BG502" i="2"/>
  <c r="BF502" i="2"/>
  <c r="BE502" i="2"/>
  <c r="BD502" i="2"/>
  <c r="BC502" i="2"/>
  <c r="BB502" i="2"/>
  <c r="BA502" i="2"/>
  <c r="AZ502" i="2"/>
  <c r="AY502" i="2"/>
  <c r="AX502" i="2"/>
  <c r="AW502" i="2"/>
  <c r="AV502" i="2"/>
  <c r="AU502" i="2"/>
  <c r="AT502" i="2"/>
  <c r="AS502" i="2"/>
  <c r="AR502" i="2"/>
  <c r="AQ502" i="2"/>
  <c r="AP502" i="2"/>
  <c r="AO502" i="2"/>
  <c r="AN502" i="2"/>
  <c r="AM502" i="2"/>
  <c r="AL502" i="2"/>
  <c r="AK502" i="2"/>
  <c r="AJ502" i="2"/>
  <c r="AI502" i="2"/>
  <c r="AH502" i="2"/>
  <c r="AG502" i="2"/>
  <c r="AF502" i="2"/>
  <c r="AE502" i="2"/>
  <c r="AD502" i="2"/>
  <c r="AC502" i="2"/>
  <c r="AB502" i="2"/>
  <c r="AA502" i="2"/>
  <c r="Y502" i="2"/>
  <c r="X502" i="2"/>
  <c r="R502" i="2"/>
  <c r="P502" i="2"/>
  <c r="N502" i="2"/>
  <c r="M502" i="2"/>
  <c r="L502" i="2"/>
  <c r="K502" i="2"/>
  <c r="J502" i="2"/>
  <c r="H502" i="2"/>
  <c r="G502" i="2"/>
  <c r="I502" i="2" s="1"/>
  <c r="F502" i="2"/>
  <c r="E502" i="2"/>
  <c r="BT501" i="2"/>
  <c r="Z501" i="2"/>
  <c r="T501" i="2"/>
  <c r="S501" i="2"/>
  <c r="V501" i="2" s="1"/>
  <c r="R501" i="2"/>
  <c r="Q501" i="2"/>
  <c r="BO501" i="2" s="1"/>
  <c r="P501" i="2"/>
  <c r="Y501" i="2" s="1"/>
  <c r="O501" i="2"/>
  <c r="G501" i="2"/>
  <c r="I501" i="2" s="1"/>
  <c r="BO500" i="2"/>
  <c r="BN500" i="2"/>
  <c r="Y500" i="2"/>
  <c r="X500" i="2"/>
  <c r="V500" i="2"/>
  <c r="BT500" i="2" s="1"/>
  <c r="T500" i="2"/>
  <c r="S500" i="2"/>
  <c r="R500" i="2"/>
  <c r="Q500" i="2"/>
  <c r="W500" i="2" s="1"/>
  <c r="BR500" i="2" s="1"/>
  <c r="P500" i="2"/>
  <c r="O500" i="2"/>
  <c r="U500" i="2" s="1"/>
  <c r="BQ500" i="2" s="1"/>
  <c r="I500" i="2"/>
  <c r="G500" i="2"/>
  <c r="J500" i="2" s="1"/>
  <c r="Z499" i="2"/>
  <c r="W499" i="2"/>
  <c r="BR499" i="2" s="1"/>
  <c r="T499" i="2"/>
  <c r="T498" i="2" s="1"/>
  <c r="S499" i="2"/>
  <c r="V499" i="2" s="1"/>
  <c r="R499" i="2"/>
  <c r="Q499" i="2"/>
  <c r="BO499" i="2" s="1"/>
  <c r="P499" i="2"/>
  <c r="Y499" i="2" s="1"/>
  <c r="O499" i="2"/>
  <c r="X499" i="2" s="1"/>
  <c r="J499" i="2"/>
  <c r="G499" i="2"/>
  <c r="G498" i="2" s="1"/>
  <c r="BM498" i="2"/>
  <c r="BL498" i="2"/>
  <c r="BK498" i="2"/>
  <c r="BJ498" i="2"/>
  <c r="BI498" i="2"/>
  <c r="BH498" i="2"/>
  <c r="BG498" i="2"/>
  <c r="BF498" i="2"/>
  <c r="BE498" i="2"/>
  <c r="BD498" i="2"/>
  <c r="BC498" i="2"/>
  <c r="BB498" i="2"/>
  <c r="BA498" i="2"/>
  <c r="AZ498" i="2"/>
  <c r="AY498" i="2"/>
  <c r="AX498" i="2"/>
  <c r="AW498" i="2"/>
  <c r="AV498" i="2"/>
  <c r="AU498" i="2"/>
  <c r="AT498" i="2"/>
  <c r="AS498" i="2"/>
  <c r="AR498" i="2"/>
  <c r="AQ498" i="2"/>
  <c r="AP498" i="2"/>
  <c r="AO498" i="2"/>
  <c r="AN498" i="2"/>
  <c r="AM498" i="2"/>
  <c r="AL498" i="2"/>
  <c r="AK498" i="2"/>
  <c r="AJ498" i="2"/>
  <c r="AI498" i="2"/>
  <c r="AH498" i="2"/>
  <c r="AG498" i="2"/>
  <c r="AF498" i="2"/>
  <c r="AE498" i="2"/>
  <c r="AD498" i="2"/>
  <c r="AC498" i="2"/>
  <c r="AB498" i="2"/>
  <c r="AA498" i="2"/>
  <c r="R498" i="2"/>
  <c r="P498" i="2"/>
  <c r="Y498" i="2" s="1"/>
  <c r="N498" i="2"/>
  <c r="M498" i="2"/>
  <c r="L498" i="2"/>
  <c r="K498" i="2"/>
  <c r="H498" i="2"/>
  <c r="F498" i="2"/>
  <c r="E498" i="2"/>
  <c r="BO497" i="2"/>
  <c r="Z497" i="2"/>
  <c r="X497" i="2"/>
  <c r="V497" i="2"/>
  <c r="BT497" i="2" s="1"/>
  <c r="T497" i="2"/>
  <c r="T495" i="2" s="1"/>
  <c r="T490" i="2" s="1"/>
  <c r="S497" i="2"/>
  <c r="R497" i="2"/>
  <c r="Q497" i="2"/>
  <c r="W497" i="2" s="1"/>
  <c r="BR497" i="2" s="1"/>
  <c r="P497" i="2"/>
  <c r="P495" i="2" s="1"/>
  <c r="Y495" i="2" s="1"/>
  <c r="O497" i="2"/>
  <c r="BN497" i="2" s="1"/>
  <c r="BP497" i="2" s="1"/>
  <c r="BU497" i="2" s="1"/>
  <c r="G497" i="2"/>
  <c r="I497" i="2" s="1"/>
  <c r="BN496" i="2"/>
  <c r="Y496" i="2"/>
  <c r="T496" i="2"/>
  <c r="S496" i="2"/>
  <c r="V496" i="2" s="1"/>
  <c r="V495" i="2" s="1"/>
  <c r="R496" i="2"/>
  <c r="Q496" i="2"/>
  <c r="W496" i="2" s="1"/>
  <c r="BR496" i="2" s="1"/>
  <c r="BR495" i="2" s="1"/>
  <c r="P496" i="2"/>
  <c r="O496" i="2"/>
  <c r="I496" i="2"/>
  <c r="G496" i="2"/>
  <c r="J496" i="2" s="1"/>
  <c r="BM495" i="2"/>
  <c r="BL495" i="2"/>
  <c r="BK495" i="2"/>
  <c r="BJ495" i="2"/>
  <c r="BI495" i="2"/>
  <c r="BH495" i="2"/>
  <c r="BG495" i="2"/>
  <c r="BF495" i="2"/>
  <c r="BE495" i="2"/>
  <c r="BD495" i="2"/>
  <c r="BC495" i="2"/>
  <c r="BB495" i="2"/>
  <c r="BA495" i="2"/>
  <c r="AZ495" i="2"/>
  <c r="AY495" i="2"/>
  <c r="AX495" i="2"/>
  <c r="AW495" i="2"/>
  <c r="AV495" i="2"/>
  <c r="AU495" i="2"/>
  <c r="AT495" i="2"/>
  <c r="AS495" i="2"/>
  <c r="AR495" i="2"/>
  <c r="AQ495" i="2"/>
  <c r="AP495" i="2"/>
  <c r="AO495" i="2"/>
  <c r="AN495" i="2"/>
  <c r="AM495" i="2"/>
  <c r="AL495" i="2"/>
  <c r="AK495" i="2"/>
  <c r="AJ495" i="2"/>
  <c r="AI495" i="2"/>
  <c r="AH495" i="2"/>
  <c r="AG495" i="2"/>
  <c r="AF495" i="2"/>
  <c r="AE495" i="2"/>
  <c r="AD495" i="2"/>
  <c r="AC495" i="2"/>
  <c r="AB495" i="2"/>
  <c r="AA495" i="2"/>
  <c r="W495" i="2"/>
  <c r="S495" i="2"/>
  <c r="Q495" i="2"/>
  <c r="Z495" i="2" s="1"/>
  <c r="N495" i="2"/>
  <c r="M495" i="2"/>
  <c r="L495" i="2"/>
  <c r="K495" i="2"/>
  <c r="H495" i="2"/>
  <c r="F495" i="2"/>
  <c r="E495" i="2"/>
  <c r="BN494" i="2"/>
  <c r="Y494" i="2"/>
  <c r="T494" i="2"/>
  <c r="S494" i="2"/>
  <c r="V494" i="2" s="1"/>
  <c r="V493" i="2" s="1"/>
  <c r="R494" i="2"/>
  <c r="R493" i="2" s="1"/>
  <c r="Q494" i="2"/>
  <c r="W494" i="2" s="1"/>
  <c r="BR494" i="2" s="1"/>
  <c r="BR493" i="2" s="1"/>
  <c r="P494" i="2"/>
  <c r="O494" i="2"/>
  <c r="I494" i="2"/>
  <c r="G494" i="2"/>
  <c r="J494" i="2" s="1"/>
  <c r="BM493" i="2"/>
  <c r="BL493" i="2"/>
  <c r="BK493" i="2"/>
  <c r="BJ493" i="2"/>
  <c r="BI493" i="2"/>
  <c r="BH493" i="2"/>
  <c r="BG493" i="2"/>
  <c r="BF493" i="2"/>
  <c r="BE493" i="2"/>
  <c r="BD493" i="2"/>
  <c r="BC493" i="2"/>
  <c r="BB493" i="2"/>
  <c r="BA493" i="2"/>
  <c r="AZ493" i="2"/>
  <c r="AY493" i="2"/>
  <c r="AX493" i="2"/>
  <c r="AW493" i="2"/>
  <c r="AV493" i="2"/>
  <c r="AU493" i="2"/>
  <c r="AT493" i="2"/>
  <c r="AS493" i="2"/>
  <c r="AR493" i="2"/>
  <c r="AQ493" i="2"/>
  <c r="AP493" i="2"/>
  <c r="AO493" i="2"/>
  <c r="AN493" i="2"/>
  <c r="AM493" i="2"/>
  <c r="AL493" i="2"/>
  <c r="AK493" i="2"/>
  <c r="AJ493" i="2"/>
  <c r="AI493" i="2"/>
  <c r="AH493" i="2"/>
  <c r="AG493" i="2"/>
  <c r="AF493" i="2"/>
  <c r="AE493" i="2"/>
  <c r="AD493" i="2"/>
  <c r="AC493" i="2"/>
  <c r="AB493" i="2"/>
  <c r="AA493" i="2"/>
  <c r="Y493" i="2"/>
  <c r="T493" i="2"/>
  <c r="S493" i="2"/>
  <c r="Q493" i="2"/>
  <c r="Z493" i="2" s="1"/>
  <c r="P493" i="2"/>
  <c r="N493" i="2"/>
  <c r="M493" i="2"/>
  <c r="L493" i="2"/>
  <c r="K493" i="2"/>
  <c r="H493" i="2"/>
  <c r="G493" i="2"/>
  <c r="F493" i="2"/>
  <c r="E493" i="2"/>
  <c r="BR492" i="2"/>
  <c r="BR491" i="2" s="1"/>
  <c r="Y492" i="2"/>
  <c r="T492" i="2"/>
  <c r="S492" i="2"/>
  <c r="V492" i="2" s="1"/>
  <c r="V491" i="2" s="1"/>
  <c r="R492" i="2"/>
  <c r="R491" i="2" s="1"/>
  <c r="Q492" i="2"/>
  <c r="W492" i="2" s="1"/>
  <c r="P492" i="2"/>
  <c r="O492" i="2"/>
  <c r="I492" i="2"/>
  <c r="G492" i="2"/>
  <c r="J492" i="2" s="1"/>
  <c r="BM491" i="2"/>
  <c r="BL491" i="2"/>
  <c r="BK491" i="2"/>
  <c r="BK490" i="2" s="1"/>
  <c r="BJ491" i="2"/>
  <c r="BI491" i="2"/>
  <c r="BH491" i="2"/>
  <c r="BG491" i="2"/>
  <c r="BG490" i="2" s="1"/>
  <c r="BF491" i="2"/>
  <c r="BE491" i="2"/>
  <c r="BE490" i="2" s="1"/>
  <c r="BD491" i="2"/>
  <c r="BC491" i="2"/>
  <c r="BB491" i="2"/>
  <c r="BA491" i="2"/>
  <c r="BA490" i="2" s="1"/>
  <c r="AZ491" i="2"/>
  <c r="AY491" i="2"/>
  <c r="AY490" i="2" s="1"/>
  <c r="AX491" i="2"/>
  <c r="AW491" i="2"/>
  <c r="AV491" i="2"/>
  <c r="AU491" i="2"/>
  <c r="AU490" i="2" s="1"/>
  <c r="AT491" i="2"/>
  <c r="AS491" i="2"/>
  <c r="AS490" i="2" s="1"/>
  <c r="AR491" i="2"/>
  <c r="AQ491" i="2"/>
  <c r="AP491" i="2"/>
  <c r="AO491" i="2"/>
  <c r="AO490" i="2" s="1"/>
  <c r="AN491" i="2"/>
  <c r="AM491" i="2"/>
  <c r="AM490" i="2" s="1"/>
  <c r="AL491" i="2"/>
  <c r="AK491" i="2"/>
  <c r="AJ491" i="2"/>
  <c r="AI491" i="2"/>
  <c r="AI490" i="2" s="1"/>
  <c r="AH491" i="2"/>
  <c r="AG491" i="2"/>
  <c r="AG490" i="2" s="1"/>
  <c r="AF491" i="2"/>
  <c r="AE491" i="2"/>
  <c r="AD491" i="2"/>
  <c r="AC491" i="2"/>
  <c r="AC490" i="2" s="1"/>
  <c r="AB491" i="2"/>
  <c r="AA491" i="2"/>
  <c r="AA490" i="2" s="1"/>
  <c r="Y491" i="2"/>
  <c r="W491" i="2"/>
  <c r="T491" i="2"/>
  <c r="S491" i="2"/>
  <c r="Q491" i="2"/>
  <c r="P491" i="2"/>
  <c r="N491" i="2"/>
  <c r="M491" i="2"/>
  <c r="L491" i="2"/>
  <c r="K491" i="2"/>
  <c r="K490" i="2" s="1"/>
  <c r="H491" i="2"/>
  <c r="G491" i="2"/>
  <c r="F491" i="2"/>
  <c r="E491" i="2"/>
  <c r="BH490" i="2"/>
  <c r="BF490" i="2"/>
  <c r="BD490" i="2"/>
  <c r="BB490" i="2"/>
  <c r="AZ490" i="2"/>
  <c r="AX490" i="2"/>
  <c r="AV490" i="2"/>
  <c r="AT490" i="2"/>
  <c r="AR490" i="2"/>
  <c r="AP490" i="2"/>
  <c r="AN490" i="2"/>
  <c r="AL490" i="2"/>
  <c r="AJ490" i="2"/>
  <c r="AH490" i="2"/>
  <c r="AF490" i="2"/>
  <c r="AD490" i="2"/>
  <c r="AB490" i="2"/>
  <c r="L490" i="2"/>
  <c r="F490" i="2"/>
  <c r="BO489" i="2"/>
  <c r="Z489" i="2"/>
  <c r="X489" i="2"/>
  <c r="V489" i="2"/>
  <c r="BT489" i="2" s="1"/>
  <c r="T489" i="2"/>
  <c r="S489" i="2"/>
  <c r="R489" i="2"/>
  <c r="Q489" i="2"/>
  <c r="W489" i="2" s="1"/>
  <c r="BR489" i="2" s="1"/>
  <c r="P489" i="2"/>
  <c r="Y489" i="2" s="1"/>
  <c r="O489" i="2"/>
  <c r="BN489" i="2" s="1"/>
  <c r="BP489" i="2" s="1"/>
  <c r="BU489" i="2" s="1"/>
  <c r="J489" i="2"/>
  <c r="G489" i="2"/>
  <c r="I489" i="2" s="1"/>
  <c r="Y488" i="2"/>
  <c r="T488" i="2"/>
  <c r="S488" i="2"/>
  <c r="V488" i="2" s="1"/>
  <c r="BT488" i="2" s="1"/>
  <c r="R488" i="2"/>
  <c r="Q488" i="2"/>
  <c r="Q486" i="2" s="1"/>
  <c r="P488" i="2"/>
  <c r="O488" i="2"/>
  <c r="BN488" i="2" s="1"/>
  <c r="I488" i="2"/>
  <c r="G488" i="2"/>
  <c r="J488" i="2" s="1"/>
  <c r="BU487" i="2"/>
  <c r="BO487" i="2"/>
  <c r="Z487" i="2"/>
  <c r="X487" i="2"/>
  <c r="V487" i="2"/>
  <c r="T487" i="2"/>
  <c r="S487" i="2"/>
  <c r="R487" i="2"/>
  <c r="Q487" i="2"/>
  <c r="W487" i="2" s="1"/>
  <c r="P487" i="2"/>
  <c r="O487" i="2"/>
  <c r="BN487" i="2" s="1"/>
  <c r="BP487" i="2" s="1"/>
  <c r="J487" i="2"/>
  <c r="G487" i="2"/>
  <c r="I487" i="2" s="1"/>
  <c r="BM486" i="2"/>
  <c r="BL486" i="2"/>
  <c r="S486" i="2" s="1"/>
  <c r="BK486" i="2"/>
  <c r="BJ486" i="2"/>
  <c r="BI486" i="2"/>
  <c r="BH486" i="2"/>
  <c r="BG486" i="2"/>
  <c r="BF486" i="2"/>
  <c r="BE486" i="2"/>
  <c r="BD486" i="2"/>
  <c r="BC486" i="2"/>
  <c r="BB486" i="2"/>
  <c r="BA486" i="2"/>
  <c r="AZ486" i="2"/>
  <c r="AY486" i="2"/>
  <c r="AX486" i="2"/>
  <c r="AW486" i="2"/>
  <c r="AV486" i="2"/>
  <c r="AU486" i="2"/>
  <c r="AT486" i="2"/>
  <c r="AS486" i="2"/>
  <c r="AR486" i="2"/>
  <c r="AQ486" i="2"/>
  <c r="AP486" i="2"/>
  <c r="AO486" i="2"/>
  <c r="AN486" i="2"/>
  <c r="AM486" i="2"/>
  <c r="AL486" i="2"/>
  <c r="AK486" i="2"/>
  <c r="AJ486" i="2"/>
  <c r="AI486" i="2"/>
  <c r="AH486" i="2"/>
  <c r="AG486" i="2"/>
  <c r="AF486" i="2"/>
  <c r="AE486" i="2"/>
  <c r="AD486" i="2"/>
  <c r="AC486" i="2"/>
  <c r="AB486" i="2"/>
  <c r="AA486" i="2"/>
  <c r="Z486" i="2"/>
  <c r="T486" i="2"/>
  <c r="R486" i="2"/>
  <c r="N486" i="2"/>
  <c r="M486" i="2"/>
  <c r="L486" i="2"/>
  <c r="K486" i="2"/>
  <c r="H486" i="2"/>
  <c r="F486" i="2"/>
  <c r="E486" i="2"/>
  <c r="BU485" i="2"/>
  <c r="BU484" i="2" s="1"/>
  <c r="BO485" i="2"/>
  <c r="BO484" i="2" s="1"/>
  <c r="Z485" i="2"/>
  <c r="X485" i="2"/>
  <c r="V485" i="2"/>
  <c r="T485" i="2"/>
  <c r="T484" i="2" s="1"/>
  <c r="S485" i="2"/>
  <c r="S484" i="2" s="1"/>
  <c r="R485" i="2"/>
  <c r="Q485" i="2"/>
  <c r="W485" i="2" s="1"/>
  <c r="P485" i="2"/>
  <c r="O485" i="2"/>
  <c r="BN485" i="2" s="1"/>
  <c r="BP485" i="2" s="1"/>
  <c r="J485" i="2"/>
  <c r="G485" i="2"/>
  <c r="I485" i="2" s="1"/>
  <c r="BP484" i="2"/>
  <c r="BN484" i="2"/>
  <c r="BM484" i="2"/>
  <c r="BL484" i="2"/>
  <c r="BK484" i="2"/>
  <c r="BJ484" i="2"/>
  <c r="BI484" i="2"/>
  <c r="BH484" i="2"/>
  <c r="BG484" i="2"/>
  <c r="BF484" i="2"/>
  <c r="BE484" i="2"/>
  <c r="BD484" i="2"/>
  <c r="BC484" i="2"/>
  <c r="BB484" i="2"/>
  <c r="BA484" i="2"/>
  <c r="AZ484" i="2"/>
  <c r="AY484" i="2"/>
  <c r="AX484" i="2"/>
  <c r="AW484" i="2"/>
  <c r="AV484" i="2"/>
  <c r="AU484" i="2"/>
  <c r="AT484" i="2"/>
  <c r="AS484" i="2"/>
  <c r="AR484" i="2"/>
  <c r="AQ484" i="2"/>
  <c r="AP484" i="2"/>
  <c r="AO484" i="2"/>
  <c r="AN484" i="2"/>
  <c r="AM484" i="2"/>
  <c r="AL484" i="2"/>
  <c r="AK484" i="2"/>
  <c r="AJ484" i="2"/>
  <c r="AI484" i="2"/>
  <c r="AH484" i="2"/>
  <c r="AG484" i="2"/>
  <c r="AF484" i="2"/>
  <c r="AE484" i="2"/>
  <c r="AD484" i="2"/>
  <c r="AC484" i="2"/>
  <c r="AB484" i="2"/>
  <c r="AA484" i="2"/>
  <c r="Z484" i="2"/>
  <c r="X484" i="2"/>
  <c r="R484" i="2"/>
  <c r="Q484" i="2"/>
  <c r="O484" i="2"/>
  <c r="N484" i="2"/>
  <c r="M484" i="2"/>
  <c r="L484" i="2"/>
  <c r="K484" i="2"/>
  <c r="H484" i="2"/>
  <c r="F484" i="2"/>
  <c r="E484" i="2"/>
  <c r="BU483" i="2"/>
  <c r="BU482" i="2" s="1"/>
  <c r="BU481" i="2" s="1"/>
  <c r="BO483" i="2"/>
  <c r="BO482" i="2" s="1"/>
  <c r="Z483" i="2"/>
  <c r="X483" i="2"/>
  <c r="V483" i="2"/>
  <c r="T483" i="2"/>
  <c r="T482" i="2" s="1"/>
  <c r="T481" i="2" s="1"/>
  <c r="S483" i="2"/>
  <c r="S482" i="2" s="1"/>
  <c r="R483" i="2"/>
  <c r="Q483" i="2"/>
  <c r="W483" i="2" s="1"/>
  <c r="P483" i="2"/>
  <c r="O483" i="2"/>
  <c r="BN483" i="2" s="1"/>
  <c r="BP483" i="2" s="1"/>
  <c r="J483" i="2"/>
  <c r="G483" i="2"/>
  <c r="I483" i="2" s="1"/>
  <c r="BN482" i="2"/>
  <c r="BN481" i="2" s="1"/>
  <c r="BM482" i="2"/>
  <c r="BL482" i="2"/>
  <c r="BL481" i="2" s="1"/>
  <c r="BK482" i="2"/>
  <c r="BJ482" i="2"/>
  <c r="BI482" i="2"/>
  <c r="BH482" i="2"/>
  <c r="BH481" i="2" s="1"/>
  <c r="BG482" i="2"/>
  <c r="BF482" i="2"/>
  <c r="BF481" i="2" s="1"/>
  <c r="BE482" i="2"/>
  <c r="BD482" i="2"/>
  <c r="BC482" i="2"/>
  <c r="BB482" i="2"/>
  <c r="BB481" i="2" s="1"/>
  <c r="BA482" i="2"/>
  <c r="AZ482" i="2"/>
  <c r="AZ481" i="2" s="1"/>
  <c r="AY482" i="2"/>
  <c r="AX482" i="2"/>
  <c r="AW482" i="2"/>
  <c r="AV482" i="2"/>
  <c r="AV481" i="2" s="1"/>
  <c r="AU482" i="2"/>
  <c r="AT482" i="2"/>
  <c r="AT481" i="2" s="1"/>
  <c r="AS482" i="2"/>
  <c r="AR482" i="2"/>
  <c r="AQ482" i="2"/>
  <c r="AP482" i="2"/>
  <c r="AP481" i="2" s="1"/>
  <c r="AO482" i="2"/>
  <c r="AN482" i="2"/>
  <c r="AN481" i="2" s="1"/>
  <c r="AM482" i="2"/>
  <c r="AL482" i="2"/>
  <c r="AK482" i="2"/>
  <c r="AJ482" i="2"/>
  <c r="AJ481" i="2" s="1"/>
  <c r="AI482" i="2"/>
  <c r="AH482" i="2"/>
  <c r="AH481" i="2" s="1"/>
  <c r="AG482" i="2"/>
  <c r="AF482" i="2"/>
  <c r="AE482" i="2"/>
  <c r="AD482" i="2"/>
  <c r="AD481" i="2" s="1"/>
  <c r="AC482" i="2"/>
  <c r="AB482" i="2"/>
  <c r="AB481" i="2" s="1"/>
  <c r="AA482" i="2"/>
  <c r="Z482" i="2"/>
  <c r="X482" i="2"/>
  <c r="R482" i="2"/>
  <c r="R481" i="2" s="1"/>
  <c r="Q482" i="2"/>
  <c r="O482" i="2"/>
  <c r="N482" i="2"/>
  <c r="M482" i="2"/>
  <c r="L482" i="2"/>
  <c r="L481" i="2" s="1"/>
  <c r="K482" i="2"/>
  <c r="H482" i="2"/>
  <c r="F482" i="2"/>
  <c r="F481" i="2" s="1"/>
  <c r="E482" i="2"/>
  <c r="BO481" i="2"/>
  <c r="BM481" i="2"/>
  <c r="BK481" i="2"/>
  <c r="BI481" i="2"/>
  <c r="BG481" i="2"/>
  <c r="BE481" i="2"/>
  <c r="BC481" i="2"/>
  <c r="BA481" i="2"/>
  <c r="AY481" i="2"/>
  <c r="AW481" i="2"/>
  <c r="AU481" i="2"/>
  <c r="AS481" i="2"/>
  <c r="AQ481" i="2"/>
  <c r="AO481" i="2"/>
  <c r="AM481" i="2"/>
  <c r="AK481" i="2"/>
  <c r="AI481" i="2"/>
  <c r="AG481" i="2"/>
  <c r="AE481" i="2"/>
  <c r="AC481" i="2"/>
  <c r="AA481" i="2"/>
  <c r="S481" i="2"/>
  <c r="Q481" i="2"/>
  <c r="Z481" i="2" s="1"/>
  <c r="O481" i="2"/>
  <c r="X481" i="2" s="1"/>
  <c r="M481" i="2"/>
  <c r="K481" i="2"/>
  <c r="E481" i="2"/>
  <c r="BN480" i="2"/>
  <c r="Y480" i="2"/>
  <c r="T480" i="2"/>
  <c r="S480" i="2"/>
  <c r="R480" i="2"/>
  <c r="R479" i="2" s="1"/>
  <c r="Q480" i="2"/>
  <c r="W480" i="2" s="1"/>
  <c r="BR480" i="2" s="1"/>
  <c r="BR479" i="2" s="1"/>
  <c r="P480" i="2"/>
  <c r="O480" i="2"/>
  <c r="I480" i="2"/>
  <c r="G480" i="2"/>
  <c r="J480" i="2" s="1"/>
  <c r="BM479" i="2"/>
  <c r="BL479" i="2"/>
  <c r="BK479" i="2"/>
  <c r="BJ479" i="2"/>
  <c r="BI479" i="2"/>
  <c r="BH479" i="2"/>
  <c r="BG479" i="2"/>
  <c r="BF479" i="2"/>
  <c r="BE479" i="2"/>
  <c r="BD479" i="2"/>
  <c r="BC479" i="2"/>
  <c r="BB479" i="2"/>
  <c r="BA479" i="2"/>
  <c r="AZ479" i="2"/>
  <c r="AY479" i="2"/>
  <c r="AX479" i="2"/>
  <c r="AW479" i="2"/>
  <c r="AV479" i="2"/>
  <c r="AU479" i="2"/>
  <c r="AT479" i="2"/>
  <c r="AS479" i="2"/>
  <c r="AR479" i="2"/>
  <c r="AQ479" i="2"/>
  <c r="AP479" i="2"/>
  <c r="AO479" i="2"/>
  <c r="AN479" i="2"/>
  <c r="AM479" i="2"/>
  <c r="AL479" i="2"/>
  <c r="AK479" i="2"/>
  <c r="AJ479" i="2"/>
  <c r="AI479" i="2"/>
  <c r="AH479" i="2"/>
  <c r="AG479" i="2"/>
  <c r="AF479" i="2"/>
  <c r="AE479" i="2"/>
  <c r="AD479" i="2"/>
  <c r="AC479" i="2"/>
  <c r="AB479" i="2"/>
  <c r="AA479" i="2"/>
  <c r="Y479" i="2"/>
  <c r="W479" i="2"/>
  <c r="T479" i="2"/>
  <c r="Q479" i="2"/>
  <c r="Z479" i="2" s="1"/>
  <c r="P479" i="2"/>
  <c r="N479" i="2"/>
  <c r="M479" i="2"/>
  <c r="L479" i="2"/>
  <c r="K479" i="2"/>
  <c r="H479" i="2"/>
  <c r="G479" i="2"/>
  <c r="F479" i="2"/>
  <c r="E479" i="2"/>
  <c r="BN478" i="2"/>
  <c r="Y478" i="2"/>
  <c r="T478" i="2"/>
  <c r="S478" i="2"/>
  <c r="V478" i="2" s="1"/>
  <c r="V477" i="2" s="1"/>
  <c r="R478" i="2"/>
  <c r="R477" i="2" s="1"/>
  <c r="Q478" i="2"/>
  <c r="W478" i="2" s="1"/>
  <c r="BR478" i="2" s="1"/>
  <c r="BR477" i="2" s="1"/>
  <c r="P478" i="2"/>
  <c r="O478" i="2"/>
  <c r="I478" i="2"/>
  <c r="G478" i="2"/>
  <c r="J478" i="2" s="1"/>
  <c r="BM477" i="2"/>
  <c r="BL477" i="2"/>
  <c r="BK477" i="2"/>
  <c r="BJ477" i="2"/>
  <c r="BI477" i="2"/>
  <c r="BH477" i="2"/>
  <c r="BG477" i="2"/>
  <c r="BF477" i="2"/>
  <c r="BE477" i="2"/>
  <c r="BD477" i="2"/>
  <c r="BC477" i="2"/>
  <c r="BC471" i="2" s="1"/>
  <c r="BB477" i="2"/>
  <c r="BA477" i="2"/>
  <c r="AZ477" i="2"/>
  <c r="AY477" i="2"/>
  <c r="AX477" i="2"/>
  <c r="AW477" i="2"/>
  <c r="AV477" i="2"/>
  <c r="AU477" i="2"/>
  <c r="AT477" i="2"/>
  <c r="AS477" i="2"/>
  <c r="AR477" i="2"/>
  <c r="AQ477" i="2"/>
  <c r="AQ471" i="2" s="1"/>
  <c r="AP477" i="2"/>
  <c r="AO477" i="2"/>
  <c r="AN477" i="2"/>
  <c r="AM477" i="2"/>
  <c r="AL477" i="2"/>
  <c r="AK477" i="2"/>
  <c r="AJ477" i="2"/>
  <c r="AI477" i="2"/>
  <c r="AH477" i="2"/>
  <c r="AG477" i="2"/>
  <c r="AF477" i="2"/>
  <c r="AE477" i="2"/>
  <c r="AE471" i="2" s="1"/>
  <c r="AD477" i="2"/>
  <c r="AC477" i="2"/>
  <c r="AB477" i="2"/>
  <c r="AA477" i="2"/>
  <c r="Y477" i="2"/>
  <c r="W477" i="2"/>
  <c r="T477" i="2"/>
  <c r="Q477" i="2"/>
  <c r="Z477" i="2" s="1"/>
  <c r="P477" i="2"/>
  <c r="N477" i="2"/>
  <c r="M477" i="2"/>
  <c r="L477" i="2"/>
  <c r="K477" i="2"/>
  <c r="K471" i="2" s="1"/>
  <c r="H477" i="2"/>
  <c r="G477" i="2"/>
  <c r="F477" i="2"/>
  <c r="E477" i="2"/>
  <c r="BN476" i="2"/>
  <c r="Y476" i="2"/>
  <c r="T476" i="2"/>
  <c r="S476" i="2"/>
  <c r="R476" i="2"/>
  <c r="R475" i="2" s="1"/>
  <c r="Q476" i="2"/>
  <c r="W476" i="2" s="1"/>
  <c r="BR476" i="2" s="1"/>
  <c r="BR475" i="2" s="1"/>
  <c r="P476" i="2"/>
  <c r="O476" i="2"/>
  <c r="I476" i="2"/>
  <c r="G476" i="2"/>
  <c r="J476" i="2" s="1"/>
  <c r="BM475" i="2"/>
  <c r="BL475" i="2"/>
  <c r="BK475" i="2"/>
  <c r="BJ475" i="2"/>
  <c r="BI475" i="2"/>
  <c r="BH475" i="2"/>
  <c r="BG475" i="2"/>
  <c r="BF475" i="2"/>
  <c r="BE475" i="2"/>
  <c r="BD475" i="2"/>
  <c r="BC475" i="2"/>
  <c r="BB475" i="2"/>
  <c r="BA475" i="2"/>
  <c r="AZ475" i="2"/>
  <c r="AY475" i="2"/>
  <c r="AX475" i="2"/>
  <c r="AW475" i="2"/>
  <c r="AV475" i="2"/>
  <c r="AU475" i="2"/>
  <c r="AT475" i="2"/>
  <c r="AS475" i="2"/>
  <c r="AR475" i="2"/>
  <c r="AQ475" i="2"/>
  <c r="AP475" i="2"/>
  <c r="AO475" i="2"/>
  <c r="AN475" i="2"/>
  <c r="AM475" i="2"/>
  <c r="AL475" i="2"/>
  <c r="AK475" i="2"/>
  <c r="AJ475" i="2"/>
  <c r="AI475" i="2"/>
  <c r="AH475" i="2"/>
  <c r="AG475" i="2"/>
  <c r="AF475" i="2"/>
  <c r="AE475" i="2"/>
  <c r="AD475" i="2"/>
  <c r="AC475" i="2"/>
  <c r="AB475" i="2"/>
  <c r="AA475" i="2"/>
  <c r="Y475" i="2"/>
  <c r="W475" i="2"/>
  <c r="T475" i="2"/>
  <c r="Q475" i="2"/>
  <c r="Z475" i="2" s="1"/>
  <c r="P475" i="2"/>
  <c r="N475" i="2"/>
  <c r="M475" i="2"/>
  <c r="M471" i="2" s="1"/>
  <c r="L475" i="2"/>
  <c r="K475" i="2"/>
  <c r="H475" i="2"/>
  <c r="G475" i="2"/>
  <c r="F475" i="2"/>
  <c r="E475" i="2"/>
  <c r="BN474" i="2"/>
  <c r="Y474" i="2"/>
  <c r="T474" i="2"/>
  <c r="S474" i="2"/>
  <c r="V474" i="2" s="1"/>
  <c r="BT474" i="2" s="1"/>
  <c r="R474" i="2"/>
  <c r="Q474" i="2"/>
  <c r="Q472" i="2" s="1"/>
  <c r="Q471" i="2" s="1"/>
  <c r="Z471" i="2" s="1"/>
  <c r="P474" i="2"/>
  <c r="O474" i="2"/>
  <c r="I474" i="2"/>
  <c r="G474" i="2"/>
  <c r="J474" i="2" s="1"/>
  <c r="BO473" i="2"/>
  <c r="Z473" i="2"/>
  <c r="X473" i="2"/>
  <c r="V473" i="2"/>
  <c r="T473" i="2"/>
  <c r="S473" i="2"/>
  <c r="S472" i="2" s="1"/>
  <c r="R473" i="2"/>
  <c r="Q473" i="2"/>
  <c r="W473" i="2" s="1"/>
  <c r="P473" i="2"/>
  <c r="O473" i="2"/>
  <c r="BN473" i="2" s="1"/>
  <c r="J473" i="2"/>
  <c r="G473" i="2"/>
  <c r="I473" i="2" s="1"/>
  <c r="BM472" i="2"/>
  <c r="BL472" i="2"/>
  <c r="BL471" i="2" s="1"/>
  <c r="BK472" i="2"/>
  <c r="BJ472" i="2"/>
  <c r="BJ471" i="2" s="1"/>
  <c r="BI472" i="2"/>
  <c r="BH472" i="2"/>
  <c r="BH471" i="2" s="1"/>
  <c r="BG472" i="2"/>
  <c r="BF472" i="2"/>
  <c r="BF471" i="2" s="1"/>
  <c r="BE472" i="2"/>
  <c r="BD472" i="2"/>
  <c r="BD471" i="2" s="1"/>
  <c r="BC472" i="2"/>
  <c r="BB472" i="2"/>
  <c r="BB471" i="2" s="1"/>
  <c r="BA472" i="2"/>
  <c r="AZ472" i="2"/>
  <c r="AZ471" i="2" s="1"/>
  <c r="AY472" i="2"/>
  <c r="AX472" i="2"/>
  <c r="AX471" i="2" s="1"/>
  <c r="AW472" i="2"/>
  <c r="AV472" i="2"/>
  <c r="AV471" i="2" s="1"/>
  <c r="AU472" i="2"/>
  <c r="AT472" i="2"/>
  <c r="AT471" i="2" s="1"/>
  <c r="AS472" i="2"/>
  <c r="AR472" i="2"/>
  <c r="AR471" i="2" s="1"/>
  <c r="AQ472" i="2"/>
  <c r="AP472" i="2"/>
  <c r="AP471" i="2" s="1"/>
  <c r="AO472" i="2"/>
  <c r="AN472" i="2"/>
  <c r="AN471" i="2" s="1"/>
  <c r="AM472" i="2"/>
  <c r="AL472" i="2"/>
  <c r="AL471" i="2" s="1"/>
  <c r="AK472" i="2"/>
  <c r="AJ472" i="2"/>
  <c r="AJ471" i="2" s="1"/>
  <c r="AI472" i="2"/>
  <c r="AH472" i="2"/>
  <c r="AH471" i="2" s="1"/>
  <c r="AG472" i="2"/>
  <c r="AF472" i="2"/>
  <c r="AF471" i="2" s="1"/>
  <c r="AE472" i="2"/>
  <c r="AD472" i="2"/>
  <c r="AD471" i="2" s="1"/>
  <c r="AC472" i="2"/>
  <c r="AB472" i="2"/>
  <c r="AB471" i="2" s="1"/>
  <c r="AA472" i="2"/>
  <c r="T472" i="2"/>
  <c r="T471" i="2" s="1"/>
  <c r="R472" i="2"/>
  <c r="N472" i="2"/>
  <c r="N471" i="2" s="1"/>
  <c r="M472" i="2"/>
  <c r="L472" i="2"/>
  <c r="L471" i="2" s="1"/>
  <c r="K472" i="2"/>
  <c r="H472" i="2"/>
  <c r="H471" i="2" s="1"/>
  <c r="F472" i="2"/>
  <c r="F471" i="2" s="1"/>
  <c r="E472" i="2"/>
  <c r="BM471" i="2"/>
  <c r="BK471" i="2"/>
  <c r="BI471" i="2"/>
  <c r="BG471" i="2"/>
  <c r="BE471" i="2"/>
  <c r="BA471" i="2"/>
  <c r="AY471" i="2"/>
  <c r="AW471" i="2"/>
  <c r="AU471" i="2"/>
  <c r="AS471" i="2"/>
  <c r="AO471" i="2"/>
  <c r="AM471" i="2"/>
  <c r="AK471" i="2"/>
  <c r="AI471" i="2"/>
  <c r="AG471" i="2"/>
  <c r="AC471" i="2"/>
  <c r="AA471" i="2"/>
  <c r="E471" i="2"/>
  <c r="BR470" i="2"/>
  <c r="BR469" i="2" s="1"/>
  <c r="Y470" i="2"/>
  <c r="T470" i="2"/>
  <c r="S470" i="2"/>
  <c r="V470" i="2" s="1"/>
  <c r="V469" i="2" s="1"/>
  <c r="R470" i="2"/>
  <c r="Q470" i="2"/>
  <c r="W470" i="2" s="1"/>
  <c r="P470" i="2"/>
  <c r="O470" i="2"/>
  <c r="X470" i="2" s="1"/>
  <c r="I470" i="2"/>
  <c r="G470" i="2"/>
  <c r="BM469" i="2"/>
  <c r="BL469" i="2"/>
  <c r="BK469" i="2"/>
  <c r="BJ469" i="2"/>
  <c r="BI469" i="2"/>
  <c r="BH469" i="2"/>
  <c r="BG469" i="2"/>
  <c r="BF469" i="2"/>
  <c r="BE469" i="2"/>
  <c r="BD469" i="2"/>
  <c r="BC469" i="2"/>
  <c r="BB469" i="2"/>
  <c r="BA469" i="2"/>
  <c r="AZ469" i="2"/>
  <c r="AY469" i="2"/>
  <c r="AX469" i="2"/>
  <c r="AW469" i="2"/>
  <c r="AV469" i="2"/>
  <c r="AU469" i="2"/>
  <c r="AT469" i="2"/>
  <c r="AS469" i="2"/>
  <c r="AR469" i="2"/>
  <c r="AQ469" i="2"/>
  <c r="AP469" i="2"/>
  <c r="AO469" i="2"/>
  <c r="AN469" i="2"/>
  <c r="AM469" i="2"/>
  <c r="AL469" i="2"/>
  <c r="AK469" i="2"/>
  <c r="AJ469" i="2"/>
  <c r="AI469" i="2"/>
  <c r="AH469" i="2"/>
  <c r="AG469" i="2"/>
  <c r="AF469" i="2"/>
  <c r="AE469" i="2"/>
  <c r="AD469" i="2"/>
  <c r="AC469" i="2"/>
  <c r="AB469" i="2"/>
  <c r="AA469" i="2"/>
  <c r="Y469" i="2"/>
  <c r="W469" i="2"/>
  <c r="T469" i="2"/>
  <c r="S469" i="2"/>
  <c r="R469" i="2"/>
  <c r="Q469" i="2"/>
  <c r="Z469" i="2" s="1"/>
  <c r="P469" i="2"/>
  <c r="N469" i="2"/>
  <c r="M469" i="2"/>
  <c r="L469" i="2"/>
  <c r="K469" i="2"/>
  <c r="I469" i="2"/>
  <c r="H469" i="2"/>
  <c r="G469" i="2"/>
  <c r="F469" i="2"/>
  <c r="E469" i="2"/>
  <c r="BT468" i="2"/>
  <c r="BT467" i="2" s="1"/>
  <c r="BN468" i="2"/>
  <c r="BN467" i="2" s="1"/>
  <c r="Y468" i="2"/>
  <c r="T468" i="2"/>
  <c r="S468" i="2"/>
  <c r="V468" i="2" s="1"/>
  <c r="V467" i="2" s="1"/>
  <c r="R468" i="2"/>
  <c r="Q468" i="2"/>
  <c r="P468" i="2"/>
  <c r="O468" i="2"/>
  <c r="X468" i="2" s="1"/>
  <c r="I468" i="2"/>
  <c r="G468" i="2"/>
  <c r="BM467" i="2"/>
  <c r="BL467" i="2"/>
  <c r="BK467" i="2"/>
  <c r="BK461" i="2" s="1"/>
  <c r="BJ467" i="2"/>
  <c r="BI467" i="2"/>
  <c r="BH467" i="2"/>
  <c r="BG467" i="2"/>
  <c r="BF467" i="2"/>
  <c r="BE467" i="2"/>
  <c r="BD467" i="2"/>
  <c r="BC467" i="2"/>
  <c r="BB467" i="2"/>
  <c r="BA467" i="2"/>
  <c r="AZ467" i="2"/>
  <c r="AY467" i="2"/>
  <c r="AY461" i="2" s="1"/>
  <c r="AY450" i="2" s="1"/>
  <c r="AX467" i="2"/>
  <c r="AW467" i="2"/>
  <c r="AV467" i="2"/>
  <c r="AU467" i="2"/>
  <c r="AT467" i="2"/>
  <c r="AS467" i="2"/>
  <c r="AR467" i="2"/>
  <c r="AQ467" i="2"/>
  <c r="AP467" i="2"/>
  <c r="AO467" i="2"/>
  <c r="AN467" i="2"/>
  <c r="AM467" i="2"/>
  <c r="AM461" i="2" s="1"/>
  <c r="AM450" i="2" s="1"/>
  <c r="AL467" i="2"/>
  <c r="AK467" i="2"/>
  <c r="AJ467" i="2"/>
  <c r="AI467" i="2"/>
  <c r="AH467" i="2"/>
  <c r="AG467" i="2"/>
  <c r="AF467" i="2"/>
  <c r="AE467" i="2"/>
  <c r="AD467" i="2"/>
  <c r="AC467" i="2"/>
  <c r="AB467" i="2"/>
  <c r="AA467" i="2"/>
  <c r="AA461" i="2" s="1"/>
  <c r="Y467" i="2"/>
  <c r="T467" i="2"/>
  <c r="S467" i="2"/>
  <c r="R467" i="2"/>
  <c r="P467" i="2"/>
  <c r="N467" i="2"/>
  <c r="M467" i="2"/>
  <c r="M461" i="2" s="1"/>
  <c r="L467" i="2"/>
  <c r="K467" i="2"/>
  <c r="I467" i="2"/>
  <c r="H467" i="2"/>
  <c r="G467" i="2"/>
  <c r="F467" i="2"/>
  <c r="E467" i="2"/>
  <c r="BT466" i="2"/>
  <c r="BT465" i="2" s="1"/>
  <c r="BN466" i="2"/>
  <c r="BN465" i="2" s="1"/>
  <c r="Y466" i="2"/>
  <c r="T466" i="2"/>
  <c r="S466" i="2"/>
  <c r="V466" i="2" s="1"/>
  <c r="R466" i="2"/>
  <c r="Q466" i="2"/>
  <c r="P466" i="2"/>
  <c r="O466" i="2"/>
  <c r="X466" i="2" s="1"/>
  <c r="I466" i="2"/>
  <c r="G466" i="2"/>
  <c r="BM465" i="2"/>
  <c r="BL465" i="2"/>
  <c r="BK465" i="2"/>
  <c r="BJ465" i="2"/>
  <c r="BI465" i="2"/>
  <c r="BH465" i="2"/>
  <c r="BG465" i="2"/>
  <c r="BF465" i="2"/>
  <c r="BE465" i="2"/>
  <c r="BD465" i="2"/>
  <c r="BC465" i="2"/>
  <c r="BB465" i="2"/>
  <c r="BA465" i="2"/>
  <c r="AZ465" i="2"/>
  <c r="AY465" i="2"/>
  <c r="AX465" i="2"/>
  <c r="AW465" i="2"/>
  <c r="AV465" i="2"/>
  <c r="AU465" i="2"/>
  <c r="AT465" i="2"/>
  <c r="AS465" i="2"/>
  <c r="AR465" i="2"/>
  <c r="AQ465" i="2"/>
  <c r="AP465" i="2"/>
  <c r="AO465" i="2"/>
  <c r="AN465" i="2"/>
  <c r="AM465" i="2"/>
  <c r="AL465" i="2"/>
  <c r="AK465" i="2"/>
  <c r="AJ465" i="2"/>
  <c r="AI465" i="2"/>
  <c r="AH465" i="2"/>
  <c r="AG465" i="2"/>
  <c r="AF465" i="2"/>
  <c r="AE465" i="2"/>
  <c r="AD465" i="2"/>
  <c r="AC465" i="2"/>
  <c r="AB465" i="2"/>
  <c r="AA465" i="2"/>
  <c r="V465" i="2"/>
  <c r="T465" i="2"/>
  <c r="S465" i="2"/>
  <c r="R465" i="2"/>
  <c r="P465" i="2"/>
  <c r="Y465" i="2" s="1"/>
  <c r="O465" i="2"/>
  <c r="N465" i="2"/>
  <c r="M465" i="2"/>
  <c r="L465" i="2"/>
  <c r="K465" i="2"/>
  <c r="I465" i="2"/>
  <c r="H465" i="2"/>
  <c r="G465" i="2"/>
  <c r="F465" i="2"/>
  <c r="E465" i="2"/>
  <c r="BT464" i="2"/>
  <c r="X464" i="2"/>
  <c r="W464" i="2"/>
  <c r="BR464" i="2" s="1"/>
  <c r="V464" i="2"/>
  <c r="T464" i="2"/>
  <c r="S464" i="2"/>
  <c r="R464" i="2"/>
  <c r="Q464" i="2"/>
  <c r="P464" i="2"/>
  <c r="Y464" i="2" s="1"/>
  <c r="O464" i="2"/>
  <c r="BN464" i="2" s="1"/>
  <c r="G464" i="2"/>
  <c r="J464" i="2" s="1"/>
  <c r="BO463" i="2"/>
  <c r="Y463" i="2"/>
  <c r="X463" i="2"/>
  <c r="T463" i="2"/>
  <c r="S463" i="2"/>
  <c r="V463" i="2" s="1"/>
  <c r="BT463" i="2" s="1"/>
  <c r="BT462" i="2" s="1"/>
  <c r="R463" i="2"/>
  <c r="R462" i="2" s="1"/>
  <c r="R461" i="2" s="1"/>
  <c r="Q463" i="2"/>
  <c r="Z463" i="2" s="1"/>
  <c r="P463" i="2"/>
  <c r="O463" i="2"/>
  <c r="BN463" i="2" s="1"/>
  <c r="G463" i="2"/>
  <c r="BM462" i="2"/>
  <c r="BM461" i="2" s="1"/>
  <c r="BL462" i="2"/>
  <c r="BL461" i="2" s="1"/>
  <c r="BK462" i="2"/>
  <c r="BJ462" i="2"/>
  <c r="BJ461" i="2" s="1"/>
  <c r="BI462" i="2"/>
  <c r="BH462" i="2"/>
  <c r="BG462" i="2"/>
  <c r="BG461" i="2" s="1"/>
  <c r="BF462" i="2"/>
  <c r="BF461" i="2" s="1"/>
  <c r="BE462" i="2"/>
  <c r="BD462" i="2"/>
  <c r="BD461" i="2" s="1"/>
  <c r="BC462" i="2"/>
  <c r="BB462" i="2"/>
  <c r="BA462" i="2"/>
  <c r="BA461" i="2" s="1"/>
  <c r="AZ462" i="2"/>
  <c r="AZ461" i="2" s="1"/>
  <c r="AY462" i="2"/>
  <c r="AX462" i="2"/>
  <c r="AX461" i="2" s="1"/>
  <c r="AW462" i="2"/>
  <c r="AV462" i="2"/>
  <c r="AU462" i="2"/>
  <c r="AU461" i="2" s="1"/>
  <c r="AT462" i="2"/>
  <c r="AT461" i="2" s="1"/>
  <c r="AS462" i="2"/>
  <c r="AR462" i="2"/>
  <c r="AR461" i="2" s="1"/>
  <c r="AQ462" i="2"/>
  <c r="AP462" i="2"/>
  <c r="AO462" i="2"/>
  <c r="AO461" i="2" s="1"/>
  <c r="AN462" i="2"/>
  <c r="AN461" i="2" s="1"/>
  <c r="AM462" i="2"/>
  <c r="AL462" i="2"/>
  <c r="AL461" i="2" s="1"/>
  <c r="AK462" i="2"/>
  <c r="AJ462" i="2"/>
  <c r="AI462" i="2"/>
  <c r="AI461" i="2" s="1"/>
  <c r="AH462" i="2"/>
  <c r="AH461" i="2" s="1"/>
  <c r="AG462" i="2"/>
  <c r="AF462" i="2"/>
  <c r="AF461" i="2" s="1"/>
  <c r="AE462" i="2"/>
  <c r="AD462" i="2"/>
  <c r="AC462" i="2"/>
  <c r="AC461" i="2" s="1"/>
  <c r="AB462" i="2"/>
  <c r="AB461" i="2" s="1"/>
  <c r="AA462" i="2"/>
  <c r="V462" i="2"/>
  <c r="V461" i="2" s="1"/>
  <c r="T462" i="2"/>
  <c r="T461" i="2" s="1"/>
  <c r="P462" i="2"/>
  <c r="N462" i="2"/>
  <c r="N461" i="2" s="1"/>
  <c r="M462" i="2"/>
  <c r="L462" i="2"/>
  <c r="K462" i="2"/>
  <c r="K461" i="2" s="1"/>
  <c r="H462" i="2"/>
  <c r="H461" i="2" s="1"/>
  <c r="F462" i="2"/>
  <c r="E462" i="2"/>
  <c r="BI461" i="2"/>
  <c r="BH461" i="2"/>
  <c r="BE461" i="2"/>
  <c r="BC461" i="2"/>
  <c r="BB461" i="2"/>
  <c r="AW461" i="2"/>
  <c r="AV461" i="2"/>
  <c r="AS461" i="2"/>
  <c r="AQ461" i="2"/>
  <c r="AP461" i="2"/>
  <c r="AK461" i="2"/>
  <c r="AJ461" i="2"/>
  <c r="AG461" i="2"/>
  <c r="AE461" i="2"/>
  <c r="AD461" i="2"/>
  <c r="L461" i="2"/>
  <c r="F461" i="2"/>
  <c r="BT460" i="2"/>
  <c r="BT459" i="2" s="1"/>
  <c r="X460" i="2"/>
  <c r="W460" i="2"/>
  <c r="V460" i="2"/>
  <c r="T460" i="2"/>
  <c r="T459" i="2" s="1"/>
  <c r="S460" i="2"/>
  <c r="R460" i="2"/>
  <c r="R459" i="2" s="1"/>
  <c r="Q460" i="2"/>
  <c r="P460" i="2"/>
  <c r="Y460" i="2" s="1"/>
  <c r="O460" i="2"/>
  <c r="BN460" i="2" s="1"/>
  <c r="BN459" i="2" s="1"/>
  <c r="G460" i="2"/>
  <c r="G459" i="2" s="1"/>
  <c r="BM459" i="2"/>
  <c r="BL459" i="2"/>
  <c r="BK459" i="2"/>
  <c r="BK451" i="2" s="1"/>
  <c r="BK450" i="2" s="1"/>
  <c r="BJ459" i="2"/>
  <c r="BI459" i="2"/>
  <c r="BH459" i="2"/>
  <c r="BG459" i="2"/>
  <c r="BF459" i="2"/>
  <c r="BE459" i="2"/>
  <c r="BD459" i="2"/>
  <c r="BC459" i="2"/>
  <c r="BB459" i="2"/>
  <c r="BA459" i="2"/>
  <c r="AZ459" i="2"/>
  <c r="AY459" i="2"/>
  <c r="AX459" i="2"/>
  <c r="AW459" i="2"/>
  <c r="AV459" i="2"/>
  <c r="AU459" i="2"/>
  <c r="AT459" i="2"/>
  <c r="AS459" i="2"/>
  <c r="AS451" i="2" s="1"/>
  <c r="AS450" i="2" s="1"/>
  <c r="AR459" i="2"/>
  <c r="AQ459" i="2"/>
  <c r="AP459" i="2"/>
  <c r="AO459" i="2"/>
  <c r="AN459" i="2"/>
  <c r="AM459" i="2"/>
  <c r="AL459" i="2"/>
  <c r="AK459" i="2"/>
  <c r="AJ459" i="2"/>
  <c r="AI459" i="2"/>
  <c r="AH459" i="2"/>
  <c r="AG459" i="2"/>
  <c r="AF459" i="2"/>
  <c r="AE459" i="2"/>
  <c r="AD459" i="2"/>
  <c r="AC459" i="2"/>
  <c r="AB459" i="2"/>
  <c r="AA459" i="2"/>
  <c r="AA451" i="2" s="1"/>
  <c r="AA450" i="2" s="1"/>
  <c r="V459" i="2"/>
  <c r="S459" i="2"/>
  <c r="P459" i="2"/>
  <c r="Y459" i="2" s="1"/>
  <c r="O459" i="2"/>
  <c r="X459" i="2" s="1"/>
  <c r="N459" i="2"/>
  <c r="M459" i="2"/>
  <c r="L459" i="2"/>
  <c r="K459" i="2"/>
  <c r="I459" i="2"/>
  <c r="H459" i="2"/>
  <c r="F459" i="2"/>
  <c r="E459" i="2"/>
  <c r="BT458" i="2"/>
  <c r="BT457" i="2" s="1"/>
  <c r="X458" i="2"/>
  <c r="V458" i="2"/>
  <c r="T458" i="2"/>
  <c r="T457" i="2" s="1"/>
  <c r="S458" i="2"/>
  <c r="R458" i="2"/>
  <c r="R457" i="2" s="1"/>
  <c r="Q458" i="2"/>
  <c r="W458" i="2" s="1"/>
  <c r="P458" i="2"/>
  <c r="Y458" i="2" s="1"/>
  <c r="O458" i="2"/>
  <c r="BN458" i="2" s="1"/>
  <c r="BN457" i="2" s="1"/>
  <c r="G458" i="2"/>
  <c r="G457" i="2" s="1"/>
  <c r="BM457" i="2"/>
  <c r="BL457" i="2"/>
  <c r="BK457" i="2"/>
  <c r="BJ457" i="2"/>
  <c r="BI457" i="2"/>
  <c r="BH457" i="2"/>
  <c r="BG457" i="2"/>
  <c r="BF457" i="2"/>
  <c r="BE457" i="2"/>
  <c r="BD457" i="2"/>
  <c r="BC457" i="2"/>
  <c r="BB457" i="2"/>
  <c r="BA457" i="2"/>
  <c r="AZ457" i="2"/>
  <c r="AY457" i="2"/>
  <c r="AX457" i="2"/>
  <c r="AW457" i="2"/>
  <c r="AV457" i="2"/>
  <c r="AU457" i="2"/>
  <c r="AT457" i="2"/>
  <c r="AS457" i="2"/>
  <c r="AR457" i="2"/>
  <c r="AQ457" i="2"/>
  <c r="AP457" i="2"/>
  <c r="AO457" i="2"/>
  <c r="AN457" i="2"/>
  <c r="AM457" i="2"/>
  <c r="AL457" i="2"/>
  <c r="AK457" i="2"/>
  <c r="AJ457" i="2"/>
  <c r="AI457" i="2"/>
  <c r="AH457" i="2"/>
  <c r="AG457" i="2"/>
  <c r="AF457" i="2"/>
  <c r="AE457" i="2"/>
  <c r="AD457" i="2"/>
  <c r="AC457" i="2"/>
  <c r="AB457" i="2"/>
  <c r="AA457" i="2"/>
  <c r="V457" i="2"/>
  <c r="S457" i="2"/>
  <c r="P457" i="2"/>
  <c r="Y457" i="2" s="1"/>
  <c r="O457" i="2"/>
  <c r="X457" i="2" s="1"/>
  <c r="N457" i="2"/>
  <c r="M457" i="2"/>
  <c r="L457" i="2"/>
  <c r="K457" i="2"/>
  <c r="I457" i="2"/>
  <c r="H457" i="2"/>
  <c r="F457" i="2"/>
  <c r="E457" i="2"/>
  <c r="BT456" i="2"/>
  <c r="BT455" i="2" s="1"/>
  <c r="X456" i="2"/>
  <c r="V456" i="2"/>
  <c r="T456" i="2"/>
  <c r="T455" i="2" s="1"/>
  <c r="S456" i="2"/>
  <c r="R456" i="2"/>
  <c r="R455" i="2" s="1"/>
  <c r="Q456" i="2"/>
  <c r="P456" i="2"/>
  <c r="Y456" i="2" s="1"/>
  <c r="O456" i="2"/>
  <c r="BN456" i="2" s="1"/>
  <c r="BN455" i="2" s="1"/>
  <c r="G456" i="2"/>
  <c r="G455" i="2" s="1"/>
  <c r="J455" i="2" s="1"/>
  <c r="BM455" i="2"/>
  <c r="BL455" i="2"/>
  <c r="BK455" i="2"/>
  <c r="BJ455" i="2"/>
  <c r="BI455" i="2"/>
  <c r="BH455" i="2"/>
  <c r="BG455" i="2"/>
  <c r="BF455" i="2"/>
  <c r="BE455" i="2"/>
  <c r="BD455" i="2"/>
  <c r="BC455" i="2"/>
  <c r="BB455" i="2"/>
  <c r="BA455" i="2"/>
  <c r="AZ455" i="2"/>
  <c r="AY455" i="2"/>
  <c r="AX455" i="2"/>
  <c r="AW455" i="2"/>
  <c r="AV455" i="2"/>
  <c r="AU455" i="2"/>
  <c r="AT455" i="2"/>
  <c r="AS455" i="2"/>
  <c r="AR455" i="2"/>
  <c r="AQ455" i="2"/>
  <c r="AP455" i="2"/>
  <c r="AO455" i="2"/>
  <c r="AN455" i="2"/>
  <c r="AM455" i="2"/>
  <c r="AL455" i="2"/>
  <c r="AK455" i="2"/>
  <c r="AJ455" i="2"/>
  <c r="AI455" i="2"/>
  <c r="AH455" i="2"/>
  <c r="AG455" i="2"/>
  <c r="AF455" i="2"/>
  <c r="AE455" i="2"/>
  <c r="AD455" i="2"/>
  <c r="AC455" i="2"/>
  <c r="AB455" i="2"/>
  <c r="AA455" i="2"/>
  <c r="V455" i="2"/>
  <c r="S455" i="2"/>
  <c r="P455" i="2"/>
  <c r="Y455" i="2" s="1"/>
  <c r="O455" i="2"/>
  <c r="X455" i="2" s="1"/>
  <c r="N455" i="2"/>
  <c r="M455" i="2"/>
  <c r="L455" i="2"/>
  <c r="K455" i="2"/>
  <c r="I455" i="2"/>
  <c r="H455" i="2"/>
  <c r="F455" i="2"/>
  <c r="E455" i="2"/>
  <c r="BT454" i="2"/>
  <c r="X454" i="2"/>
  <c r="V454" i="2"/>
  <c r="T454" i="2"/>
  <c r="S454" i="2"/>
  <c r="R454" i="2"/>
  <c r="Q454" i="2"/>
  <c r="W454" i="2" s="1"/>
  <c r="BR454" i="2" s="1"/>
  <c r="P454" i="2"/>
  <c r="Y454" i="2" s="1"/>
  <c r="O454" i="2"/>
  <c r="BN454" i="2" s="1"/>
  <c r="G454" i="2"/>
  <c r="J454" i="2" s="1"/>
  <c r="BO453" i="2"/>
  <c r="Y453" i="2"/>
  <c r="X453" i="2"/>
  <c r="T453" i="2"/>
  <c r="S453" i="2"/>
  <c r="V453" i="2" s="1"/>
  <c r="BT453" i="2" s="1"/>
  <c r="BT452" i="2" s="1"/>
  <c r="BT451" i="2" s="1"/>
  <c r="R453" i="2"/>
  <c r="R452" i="2" s="1"/>
  <c r="Q453" i="2"/>
  <c r="Z453" i="2" s="1"/>
  <c r="P453" i="2"/>
  <c r="O453" i="2"/>
  <c r="BN453" i="2" s="1"/>
  <c r="G453" i="2"/>
  <c r="BM452" i="2"/>
  <c r="BM451" i="2" s="1"/>
  <c r="BM450" i="2" s="1"/>
  <c r="BL452" i="2"/>
  <c r="BK452" i="2"/>
  <c r="BJ452" i="2"/>
  <c r="BJ451" i="2" s="1"/>
  <c r="BI452" i="2"/>
  <c r="BH452" i="2"/>
  <c r="BG452" i="2"/>
  <c r="BG451" i="2" s="1"/>
  <c r="BF452" i="2"/>
  <c r="BE452" i="2"/>
  <c r="BD452" i="2"/>
  <c r="BD451" i="2" s="1"/>
  <c r="BD450" i="2" s="1"/>
  <c r="BC452" i="2"/>
  <c r="BB452" i="2"/>
  <c r="BA452" i="2"/>
  <c r="BA451" i="2" s="1"/>
  <c r="BA450" i="2" s="1"/>
  <c r="AZ452" i="2"/>
  <c r="AY452" i="2"/>
  <c r="AX452" i="2"/>
  <c r="AX451" i="2" s="1"/>
  <c r="AW452" i="2"/>
  <c r="AV452" i="2"/>
  <c r="AU452" i="2"/>
  <c r="AU451" i="2" s="1"/>
  <c r="AU450" i="2" s="1"/>
  <c r="AT452" i="2"/>
  <c r="AS452" i="2"/>
  <c r="AR452" i="2"/>
  <c r="AR451" i="2" s="1"/>
  <c r="AR450" i="2" s="1"/>
  <c r="AQ452" i="2"/>
  <c r="AP452" i="2"/>
  <c r="AO452" i="2"/>
  <c r="AO451" i="2" s="1"/>
  <c r="AO450" i="2" s="1"/>
  <c r="AN452" i="2"/>
  <c r="AM452" i="2"/>
  <c r="AL452" i="2"/>
  <c r="AL451" i="2" s="1"/>
  <c r="AK452" i="2"/>
  <c r="AJ452" i="2"/>
  <c r="AI452" i="2"/>
  <c r="AI451" i="2" s="1"/>
  <c r="AI450" i="2" s="1"/>
  <c r="AH452" i="2"/>
  <c r="AG452" i="2"/>
  <c r="AF452" i="2"/>
  <c r="AF451" i="2" s="1"/>
  <c r="AF450" i="2" s="1"/>
  <c r="AE452" i="2"/>
  <c r="AD452" i="2"/>
  <c r="AC452" i="2"/>
  <c r="AC451" i="2" s="1"/>
  <c r="AC450" i="2" s="1"/>
  <c r="AB452" i="2"/>
  <c r="AA452" i="2"/>
  <c r="T452" i="2"/>
  <c r="T451" i="2" s="1"/>
  <c r="T450" i="2" s="1"/>
  <c r="Q452" i="2"/>
  <c r="P452" i="2"/>
  <c r="Y452" i="2" s="1"/>
  <c r="N452" i="2"/>
  <c r="N451" i="2" s="1"/>
  <c r="M452" i="2"/>
  <c r="L452" i="2"/>
  <c r="K452" i="2"/>
  <c r="K451" i="2" s="1"/>
  <c r="K450" i="2" s="1"/>
  <c r="H452" i="2"/>
  <c r="H451" i="2" s="1"/>
  <c r="F452" i="2"/>
  <c r="E452" i="2"/>
  <c r="E451" i="2" s="1"/>
  <c r="BL451" i="2"/>
  <c r="BI451" i="2"/>
  <c r="BI450" i="2" s="1"/>
  <c r="BH451" i="2"/>
  <c r="BF451" i="2"/>
  <c r="BF450" i="2" s="1"/>
  <c r="BE451" i="2"/>
  <c r="BE450" i="2" s="1"/>
  <c r="BC451" i="2"/>
  <c r="BB451" i="2"/>
  <c r="AZ451" i="2"/>
  <c r="AY451" i="2"/>
  <c r="AW451" i="2"/>
  <c r="AW450" i="2" s="1"/>
  <c r="AV451" i="2"/>
  <c r="AT451" i="2"/>
  <c r="AQ451" i="2"/>
  <c r="AP451" i="2"/>
  <c r="AN451" i="2"/>
  <c r="AN450" i="2" s="1"/>
  <c r="AM451" i="2"/>
  <c r="AK451" i="2"/>
  <c r="AK450" i="2" s="1"/>
  <c r="AJ451" i="2"/>
  <c r="AH451" i="2"/>
  <c r="AG451" i="2"/>
  <c r="AG450" i="2" s="1"/>
  <c r="AE451" i="2"/>
  <c r="AE450" i="2" s="1"/>
  <c r="AD451" i="2"/>
  <c r="AB451" i="2"/>
  <c r="P451" i="2"/>
  <c r="M451" i="2"/>
  <c r="L451" i="2"/>
  <c r="F451" i="2"/>
  <c r="BJ450" i="2"/>
  <c r="BH450" i="2"/>
  <c r="BB450" i="2"/>
  <c r="AX450" i="2"/>
  <c r="AV450" i="2"/>
  <c r="AP450" i="2"/>
  <c r="AL450" i="2"/>
  <c r="AJ450" i="2"/>
  <c r="AD450" i="2"/>
  <c r="N450" i="2"/>
  <c r="L450" i="2"/>
  <c r="H450" i="2"/>
  <c r="F450" i="2"/>
  <c r="V449" i="2"/>
  <c r="BT449" i="2" s="1"/>
  <c r="T449" i="2"/>
  <c r="S449" i="2"/>
  <c r="R449" i="2"/>
  <c r="Q449" i="2"/>
  <c r="Z449" i="2" s="1"/>
  <c r="P449" i="2"/>
  <c r="Y449" i="2" s="1"/>
  <c r="O449" i="2"/>
  <c r="X449" i="2" s="1"/>
  <c r="J449" i="2"/>
  <c r="I449" i="2"/>
  <c r="G449" i="2"/>
  <c r="BT448" i="2"/>
  <c r="X448" i="2"/>
  <c r="W448" i="2"/>
  <c r="BR448" i="2" s="1"/>
  <c r="V448" i="2"/>
  <c r="T448" i="2"/>
  <c r="S448" i="2"/>
  <c r="R448" i="2"/>
  <c r="Q448" i="2"/>
  <c r="P448" i="2"/>
  <c r="Y448" i="2" s="1"/>
  <c r="O448" i="2"/>
  <c r="BN448" i="2" s="1"/>
  <c r="G448" i="2"/>
  <c r="BQ447" i="2"/>
  <c r="BN447" i="2"/>
  <c r="BP447" i="2" s="1"/>
  <c r="BU447" i="2" s="1"/>
  <c r="BC447" i="2"/>
  <c r="Z447" i="2"/>
  <c r="Y447" i="2"/>
  <c r="X447" i="2"/>
  <c r="T447" i="2"/>
  <c r="S447" i="2"/>
  <c r="V447" i="2" s="1"/>
  <c r="BT447" i="2" s="1"/>
  <c r="R447" i="2"/>
  <c r="Q447" i="2"/>
  <c r="BO447" i="2" s="1"/>
  <c r="P447" i="2"/>
  <c r="O447" i="2"/>
  <c r="U447" i="2" s="1"/>
  <c r="J447" i="2"/>
  <c r="I447" i="2"/>
  <c r="G447" i="2"/>
  <c r="BN446" i="2"/>
  <c r="AZ446" i="2"/>
  <c r="P446" i="2" s="1"/>
  <c r="Y446" i="2" s="1"/>
  <c r="Z446" i="2"/>
  <c r="V446" i="2"/>
  <c r="BT446" i="2" s="1"/>
  <c r="T446" i="2"/>
  <c r="S446" i="2"/>
  <c r="R446" i="2"/>
  <c r="Q446" i="2"/>
  <c r="BO446" i="2" s="1"/>
  <c r="O446" i="2"/>
  <c r="X446" i="2" s="1"/>
  <c r="I446" i="2"/>
  <c r="G446" i="2"/>
  <c r="J446" i="2" s="1"/>
  <c r="AZ445" i="2"/>
  <c r="P445" i="2" s="1"/>
  <c r="Y445" i="2" s="1"/>
  <c r="X445" i="2"/>
  <c r="W445" i="2"/>
  <c r="BR445" i="2" s="1"/>
  <c r="V445" i="2"/>
  <c r="BT445" i="2" s="1"/>
  <c r="T445" i="2"/>
  <c r="S445" i="2"/>
  <c r="R445" i="2"/>
  <c r="Q445" i="2"/>
  <c r="Z445" i="2" s="1"/>
  <c r="O445" i="2"/>
  <c r="U445" i="2" s="1"/>
  <c r="BQ445" i="2" s="1"/>
  <c r="BS445" i="2" s="1"/>
  <c r="BV445" i="2" s="1"/>
  <c r="G445" i="2"/>
  <c r="BO444" i="2"/>
  <c r="Y444" i="2"/>
  <c r="X444" i="2"/>
  <c r="T444" i="2"/>
  <c r="S444" i="2"/>
  <c r="V444" i="2" s="1"/>
  <c r="BT444" i="2" s="1"/>
  <c r="R444" i="2"/>
  <c r="Q444" i="2"/>
  <c r="Z444" i="2" s="1"/>
  <c r="P444" i="2"/>
  <c r="O444" i="2"/>
  <c r="BN444" i="2" s="1"/>
  <c r="BP444" i="2" s="1"/>
  <c r="BU444" i="2" s="1"/>
  <c r="I444" i="2"/>
  <c r="G444" i="2"/>
  <c r="J444" i="2" s="1"/>
  <c r="Z443" i="2"/>
  <c r="Y443" i="2"/>
  <c r="X443" i="2"/>
  <c r="T443" i="2"/>
  <c r="S443" i="2"/>
  <c r="V443" i="2" s="1"/>
  <c r="BT443" i="2" s="1"/>
  <c r="R443" i="2"/>
  <c r="Q443" i="2"/>
  <c r="W443" i="2" s="1"/>
  <c r="BR443" i="2" s="1"/>
  <c r="P443" i="2"/>
  <c r="O443" i="2"/>
  <c r="BN443" i="2" s="1"/>
  <c r="J443" i="2"/>
  <c r="I443" i="2"/>
  <c r="G443" i="2"/>
  <c r="BN442" i="2"/>
  <c r="AT442" i="2"/>
  <c r="AQ442" i="2"/>
  <c r="W442" i="2"/>
  <c r="BR442" i="2" s="1"/>
  <c r="V442" i="2"/>
  <c r="BT442" i="2" s="1"/>
  <c r="T442" i="2"/>
  <c r="S442" i="2"/>
  <c r="R442" i="2"/>
  <c r="Q442" i="2"/>
  <c r="P442" i="2"/>
  <c r="Y442" i="2" s="1"/>
  <c r="O442" i="2"/>
  <c r="X442" i="2" s="1"/>
  <c r="J442" i="2"/>
  <c r="I442" i="2"/>
  <c r="G442" i="2"/>
  <c r="BQ441" i="2"/>
  <c r="BN441" i="2"/>
  <c r="BC441" i="2"/>
  <c r="Y441" i="2"/>
  <c r="X441" i="2"/>
  <c r="T441" i="2"/>
  <c r="S441" i="2"/>
  <c r="V441" i="2" s="1"/>
  <c r="BT441" i="2" s="1"/>
  <c r="R441" i="2"/>
  <c r="Q441" i="2"/>
  <c r="Z441" i="2" s="1"/>
  <c r="P441" i="2"/>
  <c r="O441" i="2"/>
  <c r="U441" i="2" s="1"/>
  <c r="G441" i="2"/>
  <c r="J441" i="2" s="1"/>
  <c r="AK440" i="2"/>
  <c r="Z440" i="2"/>
  <c r="U440" i="2"/>
  <c r="BQ440" i="2" s="1"/>
  <c r="T440" i="2"/>
  <c r="T436" i="2" s="1"/>
  <c r="S440" i="2"/>
  <c r="V440" i="2" s="1"/>
  <c r="BT440" i="2" s="1"/>
  <c r="R440" i="2"/>
  <c r="Q440" i="2"/>
  <c r="BO440" i="2" s="1"/>
  <c r="O440" i="2"/>
  <c r="J440" i="2"/>
  <c r="G440" i="2"/>
  <c r="I440" i="2" s="1"/>
  <c r="BN439" i="2"/>
  <c r="AZ439" i="2"/>
  <c r="W439" i="2"/>
  <c r="BR439" i="2" s="1"/>
  <c r="V439" i="2"/>
  <c r="BT439" i="2" s="1"/>
  <c r="T439" i="2"/>
  <c r="S439" i="2"/>
  <c r="R439" i="2"/>
  <c r="Q439" i="2"/>
  <c r="Z439" i="2" s="1"/>
  <c r="P439" i="2"/>
  <c r="Y439" i="2" s="1"/>
  <c r="O439" i="2"/>
  <c r="X439" i="2" s="1"/>
  <c r="J439" i="2"/>
  <c r="I439" i="2"/>
  <c r="G439" i="2"/>
  <c r="BT438" i="2"/>
  <c r="X438" i="2"/>
  <c r="W438" i="2"/>
  <c r="BR438" i="2" s="1"/>
  <c r="V438" i="2"/>
  <c r="T438" i="2"/>
  <c r="S438" i="2"/>
  <c r="R438" i="2"/>
  <c r="Q438" i="2"/>
  <c r="P438" i="2"/>
  <c r="Y438" i="2" s="1"/>
  <c r="O438" i="2"/>
  <c r="BN438" i="2" s="1"/>
  <c r="G438" i="2"/>
  <c r="BO437" i="2"/>
  <c r="Y437" i="2"/>
  <c r="X437" i="2"/>
  <c r="T437" i="2"/>
  <c r="S437" i="2"/>
  <c r="R437" i="2"/>
  <c r="Q437" i="2"/>
  <c r="Z437" i="2" s="1"/>
  <c r="P437" i="2"/>
  <c r="O437" i="2"/>
  <c r="BN437" i="2" s="1"/>
  <c r="I437" i="2"/>
  <c r="G437" i="2"/>
  <c r="BM436" i="2"/>
  <c r="BM425" i="2" s="1"/>
  <c r="BM424" i="2" s="1"/>
  <c r="M119" i="3" s="1"/>
  <c r="M146" i="3" s="1"/>
  <c r="BL436" i="2"/>
  <c r="BK436" i="2"/>
  <c r="BJ436" i="2"/>
  <c r="BI436" i="2"/>
  <c r="BH436" i="2"/>
  <c r="BG436" i="2"/>
  <c r="BF436" i="2"/>
  <c r="BE436" i="2"/>
  <c r="BD436" i="2"/>
  <c r="BC436" i="2"/>
  <c r="BB436" i="2"/>
  <c r="BA436" i="2"/>
  <c r="BA425" i="2" s="1"/>
  <c r="BA424" i="2" s="1"/>
  <c r="AY436" i="2"/>
  <c r="AX436" i="2"/>
  <c r="AW436" i="2"/>
  <c r="AV436" i="2"/>
  <c r="AU436" i="2"/>
  <c r="AU425" i="2" s="1"/>
  <c r="AU424" i="2" s="1"/>
  <c r="AT436" i="2"/>
  <c r="AS436" i="2"/>
  <c r="AR436" i="2"/>
  <c r="AQ436" i="2"/>
  <c r="AP436" i="2"/>
  <c r="AO436" i="2"/>
  <c r="AO425" i="2" s="1"/>
  <c r="AO424" i="2" s="1"/>
  <c r="AN436" i="2"/>
  <c r="AM436" i="2"/>
  <c r="AL436" i="2"/>
  <c r="AJ436" i="2"/>
  <c r="AI436" i="2"/>
  <c r="AI425" i="2" s="1"/>
  <c r="AI424" i="2" s="1"/>
  <c r="AH436" i="2"/>
  <c r="AG436" i="2"/>
  <c r="AF436" i="2"/>
  <c r="AE436" i="2"/>
  <c r="AD436" i="2"/>
  <c r="AC436" i="2"/>
  <c r="AB436" i="2"/>
  <c r="AA436" i="2"/>
  <c r="N436" i="2"/>
  <c r="M436" i="2"/>
  <c r="L436" i="2"/>
  <c r="K436" i="2"/>
  <c r="H436" i="2"/>
  <c r="F436" i="2"/>
  <c r="E436" i="2"/>
  <c r="BO435" i="2"/>
  <c r="BI435" i="2"/>
  <c r="BF435" i="2"/>
  <c r="BF426" i="2" s="1"/>
  <c r="BF425" i="2" s="1"/>
  <c r="BC435" i="2"/>
  <c r="AZ435" i="2"/>
  <c r="AW435" i="2"/>
  <c r="AK435" i="2"/>
  <c r="X435" i="2"/>
  <c r="T435" i="2"/>
  <c r="S435" i="2"/>
  <c r="V435" i="2" s="1"/>
  <c r="BT435" i="2" s="1"/>
  <c r="R435" i="2"/>
  <c r="Q435" i="2"/>
  <c r="Z435" i="2" s="1"/>
  <c r="O435" i="2"/>
  <c r="BN435" i="2" s="1"/>
  <c r="BP435" i="2" s="1"/>
  <c r="BU435" i="2" s="1"/>
  <c r="M435" i="2"/>
  <c r="J435" i="2"/>
  <c r="I435" i="2"/>
  <c r="G435" i="2"/>
  <c r="BT434" i="2"/>
  <c r="BN434" i="2"/>
  <c r="BI434" i="2"/>
  <c r="BF434" i="2"/>
  <c r="BC434" i="2"/>
  <c r="AZ434" i="2"/>
  <c r="AX434" i="2"/>
  <c r="AW434" i="2"/>
  <c r="AW426" i="2" s="1"/>
  <c r="AW425" i="2" s="1"/>
  <c r="AW424" i="2" s="1"/>
  <c r="AR434" i="2"/>
  <c r="AR426" i="2" s="1"/>
  <c r="AR425" i="2" s="1"/>
  <c r="AR424" i="2" s="1"/>
  <c r="AO434" i="2"/>
  <c r="AK434" i="2"/>
  <c r="X434" i="2"/>
  <c r="W434" i="2"/>
  <c r="BR434" i="2" s="1"/>
  <c r="V434" i="2"/>
  <c r="T434" i="2"/>
  <c r="S434" i="2"/>
  <c r="R434" i="2"/>
  <c r="Q434" i="2"/>
  <c r="O434" i="2"/>
  <c r="U434" i="2" s="1"/>
  <c r="BQ434" i="2" s="1"/>
  <c r="BS434" i="2" s="1"/>
  <c r="BV434" i="2" s="1"/>
  <c r="G434" i="2"/>
  <c r="BN433" i="2"/>
  <c r="BJ433" i="2"/>
  <c r="BG433" i="2"/>
  <c r="BG426" i="2" s="1"/>
  <c r="BA433" i="2"/>
  <c r="BA426" i="2" s="1"/>
  <c r="AX433" i="2"/>
  <c r="AX426" i="2" s="1"/>
  <c r="AX425" i="2" s="1"/>
  <c r="AX424" i="2" s="1"/>
  <c r="V433" i="2"/>
  <c r="BT433" i="2" s="1"/>
  <c r="T433" i="2"/>
  <c r="S433" i="2"/>
  <c r="R433" i="2"/>
  <c r="P433" i="2"/>
  <c r="Y433" i="2" s="1"/>
  <c r="O433" i="2"/>
  <c r="X433" i="2" s="1"/>
  <c r="J433" i="2"/>
  <c r="I433" i="2"/>
  <c r="G433" i="2"/>
  <c r="BT432" i="2"/>
  <c r="X432" i="2"/>
  <c r="V432" i="2"/>
  <c r="T432" i="2"/>
  <c r="S432" i="2"/>
  <c r="R432" i="2"/>
  <c r="R426" i="2" s="1"/>
  <c r="Q432" i="2"/>
  <c r="W432" i="2" s="1"/>
  <c r="BR432" i="2" s="1"/>
  <c r="P432" i="2"/>
  <c r="Y432" i="2" s="1"/>
  <c r="O432" i="2"/>
  <c r="BN432" i="2" s="1"/>
  <c r="N432" i="2"/>
  <c r="N426" i="2" s="1"/>
  <c r="N425" i="2" s="1"/>
  <c r="N424" i="2" s="1"/>
  <c r="O725" i="2" s="1"/>
  <c r="I432" i="2"/>
  <c r="G432" i="2"/>
  <c r="J432" i="2" s="1"/>
  <c r="Z431" i="2"/>
  <c r="Y431" i="2"/>
  <c r="X431" i="2"/>
  <c r="T431" i="2"/>
  <c r="S431" i="2"/>
  <c r="V431" i="2" s="1"/>
  <c r="BT431" i="2" s="1"/>
  <c r="R431" i="2"/>
  <c r="Q431" i="2"/>
  <c r="W431" i="2" s="1"/>
  <c r="BR431" i="2" s="1"/>
  <c r="P431" i="2"/>
  <c r="O431" i="2"/>
  <c r="BN431" i="2" s="1"/>
  <c r="J431" i="2"/>
  <c r="I431" i="2"/>
  <c r="G431" i="2"/>
  <c r="BT430" i="2"/>
  <c r="BN430" i="2"/>
  <c r="BJ430" i="2"/>
  <c r="V430" i="2"/>
  <c r="T430" i="2"/>
  <c r="S430" i="2"/>
  <c r="R430" i="2"/>
  <c r="P430" i="2"/>
  <c r="Y430" i="2" s="1"/>
  <c r="O430" i="2"/>
  <c r="X430" i="2" s="1"/>
  <c r="I430" i="2"/>
  <c r="G430" i="2"/>
  <c r="J430" i="2" s="1"/>
  <c r="V429" i="2"/>
  <c r="BT429" i="2" s="1"/>
  <c r="T429" i="2"/>
  <c r="S429" i="2"/>
  <c r="R429" i="2"/>
  <c r="Q429" i="2"/>
  <c r="Z429" i="2" s="1"/>
  <c r="P429" i="2"/>
  <c r="Y429" i="2" s="1"/>
  <c r="O429" i="2"/>
  <c r="X429" i="2" s="1"/>
  <c r="J429" i="2"/>
  <c r="I429" i="2"/>
  <c r="G429" i="2"/>
  <c r="BN428" i="2"/>
  <c r="BI428" i="2"/>
  <c r="BF428" i="2"/>
  <c r="BC428" i="2"/>
  <c r="AQ428" i="2"/>
  <c r="AQ426" i="2" s="1"/>
  <c r="AQ425" i="2" s="1"/>
  <c r="AQ424" i="2" s="1"/>
  <c r="AK428" i="2"/>
  <c r="W428" i="2"/>
  <c r="BR428" i="2" s="1"/>
  <c r="V428" i="2"/>
  <c r="BT428" i="2" s="1"/>
  <c r="T428" i="2"/>
  <c r="S428" i="2"/>
  <c r="R428" i="2"/>
  <c r="Q428" i="2"/>
  <c r="P428" i="2"/>
  <c r="Y428" i="2" s="1"/>
  <c r="O428" i="2"/>
  <c r="X428" i="2" s="1"/>
  <c r="M428" i="2"/>
  <c r="G428" i="2"/>
  <c r="BR427" i="2"/>
  <c r="BQ427" i="2"/>
  <c r="BO427" i="2"/>
  <c r="AK427" i="2"/>
  <c r="AH427" i="2"/>
  <c r="Z427" i="2"/>
  <c r="U427" i="2"/>
  <c r="T427" i="2"/>
  <c r="T426" i="2" s="1"/>
  <c r="T425" i="2" s="1"/>
  <c r="T424" i="2" s="1"/>
  <c r="S427" i="2"/>
  <c r="V427" i="2" s="1"/>
  <c r="R427" i="2"/>
  <c r="Q427" i="2"/>
  <c r="W427" i="2" s="1"/>
  <c r="O427" i="2"/>
  <c r="J427" i="2"/>
  <c r="G427" i="2"/>
  <c r="I427" i="2" s="1"/>
  <c r="BM426" i="2"/>
  <c r="BL426" i="2"/>
  <c r="BL425" i="2" s="1"/>
  <c r="BL424" i="2" s="1"/>
  <c r="BK426" i="2"/>
  <c r="BI426" i="2"/>
  <c r="BI425" i="2" s="1"/>
  <c r="BI424" i="2" s="1"/>
  <c r="BH426" i="2"/>
  <c r="BE426" i="2"/>
  <c r="BD426" i="2"/>
  <c r="BC426" i="2"/>
  <c r="BC425" i="2" s="1"/>
  <c r="BC424" i="2" s="1"/>
  <c r="BB426" i="2"/>
  <c r="BB425" i="2" s="1"/>
  <c r="BB424" i="2" s="1"/>
  <c r="AZ426" i="2"/>
  <c r="AY426" i="2"/>
  <c r="AV426" i="2"/>
  <c r="AU426" i="2"/>
  <c r="AT426" i="2"/>
  <c r="AT425" i="2" s="1"/>
  <c r="AT424" i="2" s="1"/>
  <c r="AS426" i="2"/>
  <c r="AP426" i="2"/>
  <c r="AP425" i="2" s="1"/>
  <c r="AP424" i="2" s="1"/>
  <c r="AO426" i="2"/>
  <c r="AN426" i="2"/>
  <c r="AN425" i="2" s="1"/>
  <c r="AN424" i="2" s="1"/>
  <c r="AM426" i="2"/>
  <c r="AL426" i="2"/>
  <c r="AK426" i="2"/>
  <c r="AJ426" i="2"/>
  <c r="AI426" i="2"/>
  <c r="AG426" i="2"/>
  <c r="AF426" i="2"/>
  <c r="AE426" i="2"/>
  <c r="AE425" i="2" s="1"/>
  <c r="AE424" i="2" s="1"/>
  <c r="AD426" i="2"/>
  <c r="AC426" i="2"/>
  <c r="AB426" i="2"/>
  <c r="AA426" i="2"/>
  <c r="M426" i="2"/>
  <c r="M425" i="2" s="1"/>
  <c r="M424" i="2" s="1"/>
  <c r="L426" i="2"/>
  <c r="K426" i="2"/>
  <c r="H426" i="2"/>
  <c r="F426" i="2"/>
  <c r="F425" i="2" s="1"/>
  <c r="F424" i="2" s="1"/>
  <c r="E426" i="2"/>
  <c r="BK425" i="2"/>
  <c r="BK424" i="2" s="1"/>
  <c r="BH425" i="2"/>
  <c r="BH424" i="2" s="1"/>
  <c r="BG425" i="2"/>
  <c r="BG424" i="2" s="1"/>
  <c r="BE425" i="2"/>
  <c r="BE424" i="2" s="1"/>
  <c r="BD425" i="2"/>
  <c r="AY425" i="2"/>
  <c r="AY424" i="2" s="1"/>
  <c r="AV425" i="2"/>
  <c r="AV424" i="2" s="1"/>
  <c r="AS425" i="2"/>
  <c r="AS424" i="2" s="1"/>
  <c r="AM425" i="2"/>
  <c r="AM424" i="2" s="1"/>
  <c r="AL425" i="2"/>
  <c r="AJ425" i="2"/>
  <c r="AJ424" i="2" s="1"/>
  <c r="AG425" i="2"/>
  <c r="AG424" i="2" s="1"/>
  <c r="AF425" i="2"/>
  <c r="AD425" i="2"/>
  <c r="AD424" i="2" s="1"/>
  <c r="AC425" i="2"/>
  <c r="AC424" i="2" s="1"/>
  <c r="AA425" i="2"/>
  <c r="AA424" i="2" s="1"/>
  <c r="L425" i="2"/>
  <c r="L424" i="2" s="1"/>
  <c r="K425" i="2"/>
  <c r="K424" i="2" s="1"/>
  <c r="H425" i="2"/>
  <c r="E425" i="2"/>
  <c r="BF424" i="2"/>
  <c r="BD424" i="2"/>
  <c r="AL424" i="2"/>
  <c r="AF424" i="2"/>
  <c r="H424" i="2"/>
  <c r="E424" i="2"/>
  <c r="BO423" i="2"/>
  <c r="Y423" i="2"/>
  <c r="X423" i="2"/>
  <c r="T423" i="2"/>
  <c r="S423" i="2"/>
  <c r="V423" i="2" s="1"/>
  <c r="BT423" i="2" s="1"/>
  <c r="R423" i="2"/>
  <c r="Q423" i="2"/>
  <c r="Z423" i="2" s="1"/>
  <c r="P423" i="2"/>
  <c r="O423" i="2"/>
  <c r="BN423" i="2" s="1"/>
  <c r="BP423" i="2" s="1"/>
  <c r="BU423" i="2" s="1"/>
  <c r="I423" i="2"/>
  <c r="G423" i="2"/>
  <c r="J423" i="2" s="1"/>
  <c r="Z422" i="2"/>
  <c r="Y422" i="2"/>
  <c r="X422" i="2"/>
  <c r="T422" i="2"/>
  <c r="S422" i="2"/>
  <c r="V422" i="2" s="1"/>
  <c r="BT422" i="2" s="1"/>
  <c r="R422" i="2"/>
  <c r="Q422" i="2"/>
  <c r="W422" i="2" s="1"/>
  <c r="BR422" i="2" s="1"/>
  <c r="P422" i="2"/>
  <c r="O422" i="2"/>
  <c r="BN422" i="2" s="1"/>
  <c r="J422" i="2"/>
  <c r="I422" i="2"/>
  <c r="G422" i="2"/>
  <c r="BT421" i="2"/>
  <c r="BT420" i="2" s="1"/>
  <c r="Z421" i="2"/>
  <c r="Y421" i="2"/>
  <c r="T421" i="2"/>
  <c r="T420" i="2" s="1"/>
  <c r="S421" i="2"/>
  <c r="V421" i="2" s="1"/>
  <c r="V420" i="2" s="1"/>
  <c r="R421" i="2"/>
  <c r="Q421" i="2"/>
  <c r="W421" i="2" s="1"/>
  <c r="P421" i="2"/>
  <c r="O421" i="2"/>
  <c r="J421" i="2"/>
  <c r="G421" i="2"/>
  <c r="I421" i="2" s="1"/>
  <c r="BM420" i="2"/>
  <c r="BL420" i="2"/>
  <c r="BK420" i="2"/>
  <c r="BJ420" i="2"/>
  <c r="BI420" i="2"/>
  <c r="BH420" i="2"/>
  <c r="BG420" i="2"/>
  <c r="BF420" i="2"/>
  <c r="BE420" i="2"/>
  <c r="BD420" i="2"/>
  <c r="BC420" i="2"/>
  <c r="BB420" i="2"/>
  <c r="BA420" i="2"/>
  <c r="AZ420" i="2"/>
  <c r="AY420" i="2"/>
  <c r="AX420" i="2"/>
  <c r="AW420" i="2"/>
  <c r="AV420" i="2"/>
  <c r="AU420" i="2"/>
  <c r="AT420" i="2"/>
  <c r="AS420" i="2"/>
  <c r="AR420" i="2"/>
  <c r="AQ420" i="2"/>
  <c r="AP420" i="2"/>
  <c r="AO420" i="2"/>
  <c r="AN420" i="2"/>
  <c r="AM420" i="2"/>
  <c r="AL420" i="2"/>
  <c r="AK420" i="2"/>
  <c r="AJ420" i="2"/>
  <c r="AI420" i="2"/>
  <c r="AH420" i="2"/>
  <c r="AG420" i="2"/>
  <c r="AF420" i="2"/>
  <c r="AE420" i="2"/>
  <c r="AD420" i="2"/>
  <c r="AC420" i="2"/>
  <c r="AB420" i="2"/>
  <c r="AA420" i="2"/>
  <c r="S420" i="2"/>
  <c r="R420" i="2"/>
  <c r="P420" i="2"/>
  <c r="N420" i="2"/>
  <c r="M420" i="2"/>
  <c r="L420" i="2"/>
  <c r="Y420" i="2" s="1"/>
  <c r="K420" i="2"/>
  <c r="H420" i="2"/>
  <c r="G420" i="2"/>
  <c r="F420" i="2"/>
  <c r="E420" i="2"/>
  <c r="BT419" i="2"/>
  <c r="BT418" i="2" s="1"/>
  <c r="BN419" i="2"/>
  <c r="AX419" i="2"/>
  <c r="Q419" i="2" s="1"/>
  <c r="V419" i="2"/>
  <c r="V418" i="2" s="1"/>
  <c r="T419" i="2"/>
  <c r="S419" i="2"/>
  <c r="S418" i="2" s="1"/>
  <c r="R419" i="2"/>
  <c r="P419" i="2"/>
  <c r="O419" i="2"/>
  <c r="X419" i="2" s="1"/>
  <c r="N419" i="2"/>
  <c r="J419" i="2"/>
  <c r="I419" i="2"/>
  <c r="G419" i="2"/>
  <c r="BM418" i="2"/>
  <c r="BL418" i="2"/>
  <c r="BK418" i="2"/>
  <c r="BJ418" i="2"/>
  <c r="BI418" i="2"/>
  <c r="BH418" i="2"/>
  <c r="BG418" i="2"/>
  <c r="BF418" i="2"/>
  <c r="BE418" i="2"/>
  <c r="BD418" i="2"/>
  <c r="BC418" i="2"/>
  <c r="BB418" i="2"/>
  <c r="BA418" i="2"/>
  <c r="AZ418" i="2"/>
  <c r="AY418" i="2"/>
  <c r="AW418" i="2"/>
  <c r="AV418" i="2"/>
  <c r="AU418" i="2"/>
  <c r="AT418" i="2"/>
  <c r="AS418" i="2"/>
  <c r="AR418" i="2"/>
  <c r="AQ418" i="2"/>
  <c r="AP418" i="2"/>
  <c r="AO418" i="2"/>
  <c r="AN418" i="2"/>
  <c r="AM418" i="2"/>
  <c r="AL418" i="2"/>
  <c r="AK418" i="2"/>
  <c r="AJ418" i="2"/>
  <c r="AI418" i="2"/>
  <c r="AH418" i="2"/>
  <c r="AG418" i="2"/>
  <c r="AF418" i="2"/>
  <c r="AE418" i="2"/>
  <c r="AD418" i="2"/>
  <c r="AC418" i="2"/>
  <c r="AB418" i="2"/>
  <c r="AA418" i="2"/>
  <c r="T418" i="2"/>
  <c r="R418" i="2"/>
  <c r="O418" i="2"/>
  <c r="X418" i="2" s="1"/>
  <c r="N418" i="2"/>
  <c r="M418" i="2"/>
  <c r="L418" i="2"/>
  <c r="K418" i="2"/>
  <c r="I418" i="2"/>
  <c r="H418" i="2"/>
  <c r="G418" i="2"/>
  <c r="J418" i="2" s="1"/>
  <c r="F418" i="2"/>
  <c r="E418" i="2"/>
  <c r="BJ417" i="2"/>
  <c r="BJ416" i="2" s="1"/>
  <c r="BG417" i="2"/>
  <c r="BG416" i="2" s="1"/>
  <c r="BD417" i="2"/>
  <c r="AX417" i="2"/>
  <c r="AX416" i="2" s="1"/>
  <c r="AQ417" i="2"/>
  <c r="AQ416" i="2" s="1"/>
  <c r="AK417" i="2"/>
  <c r="V417" i="2"/>
  <c r="BT417" i="2" s="1"/>
  <c r="BT416" i="2" s="1"/>
  <c r="T417" i="2"/>
  <c r="T416" i="2" s="1"/>
  <c r="S417" i="2"/>
  <c r="R417" i="2"/>
  <c r="O417" i="2"/>
  <c r="X417" i="2" s="1"/>
  <c r="N417" i="2"/>
  <c r="N416" i="2" s="1"/>
  <c r="G417" i="2"/>
  <c r="BM416" i="2"/>
  <c r="BL416" i="2"/>
  <c r="BK416" i="2"/>
  <c r="BI416" i="2"/>
  <c r="BH416" i="2"/>
  <c r="BF416" i="2"/>
  <c r="BE416" i="2"/>
  <c r="BD416" i="2"/>
  <c r="BC416" i="2"/>
  <c r="BB416" i="2"/>
  <c r="BA416" i="2"/>
  <c r="AZ416" i="2"/>
  <c r="AY416" i="2"/>
  <c r="AW416" i="2"/>
  <c r="AV416" i="2"/>
  <c r="AU416" i="2"/>
  <c r="AT416" i="2"/>
  <c r="AS416" i="2"/>
  <c r="AR416" i="2"/>
  <c r="AP416" i="2"/>
  <c r="AO416" i="2"/>
  <c r="AN416" i="2"/>
  <c r="AM416" i="2"/>
  <c r="AL416" i="2"/>
  <c r="AK416" i="2"/>
  <c r="AJ416" i="2"/>
  <c r="AI416" i="2"/>
  <c r="AH416" i="2"/>
  <c r="AG416" i="2"/>
  <c r="AF416" i="2"/>
  <c r="AE416" i="2"/>
  <c r="AD416" i="2"/>
  <c r="AC416" i="2"/>
  <c r="AB416" i="2"/>
  <c r="AA416" i="2"/>
  <c r="V416" i="2"/>
  <c r="S416" i="2"/>
  <c r="R416" i="2"/>
  <c r="O416" i="2"/>
  <c r="X416" i="2" s="1"/>
  <c r="M416" i="2"/>
  <c r="L416" i="2"/>
  <c r="K416" i="2"/>
  <c r="H416" i="2"/>
  <c r="F416" i="2"/>
  <c r="E416" i="2"/>
  <c r="BT415" i="2"/>
  <c r="X415" i="2"/>
  <c r="W415" i="2"/>
  <c r="BR415" i="2" s="1"/>
  <c r="V415" i="2"/>
  <c r="T415" i="2"/>
  <c r="S415" i="2"/>
  <c r="R415" i="2"/>
  <c r="Q415" i="2"/>
  <c r="P415" i="2"/>
  <c r="Y415" i="2" s="1"/>
  <c r="O415" i="2"/>
  <c r="BN415" i="2" s="1"/>
  <c r="G415" i="2"/>
  <c r="BO414" i="2"/>
  <c r="Y414" i="2"/>
  <c r="X414" i="2"/>
  <c r="T414" i="2"/>
  <c r="S414" i="2"/>
  <c r="V414" i="2" s="1"/>
  <c r="BT414" i="2" s="1"/>
  <c r="R414" i="2"/>
  <c r="Q414" i="2"/>
  <c r="Z414" i="2" s="1"/>
  <c r="P414" i="2"/>
  <c r="O414" i="2"/>
  <c r="BN414" i="2" s="1"/>
  <c r="BP414" i="2" s="1"/>
  <c r="BU414" i="2" s="1"/>
  <c r="I414" i="2"/>
  <c r="G414" i="2"/>
  <c r="J414" i="2" s="1"/>
  <c r="Z413" i="2"/>
  <c r="Y413" i="2"/>
  <c r="X413" i="2"/>
  <c r="T413" i="2"/>
  <c r="S413" i="2"/>
  <c r="V413" i="2" s="1"/>
  <c r="BT413" i="2" s="1"/>
  <c r="R413" i="2"/>
  <c r="Q413" i="2"/>
  <c r="W413" i="2" s="1"/>
  <c r="BR413" i="2" s="1"/>
  <c r="P413" i="2"/>
  <c r="O413" i="2"/>
  <c r="BN413" i="2" s="1"/>
  <c r="K413" i="2"/>
  <c r="G413" i="2"/>
  <c r="I413" i="2" s="1"/>
  <c r="BO412" i="2"/>
  <c r="Z412" i="2"/>
  <c r="V412" i="2"/>
  <c r="BT412" i="2" s="1"/>
  <c r="T412" i="2"/>
  <c r="S412" i="2"/>
  <c r="R412" i="2"/>
  <c r="Q412" i="2"/>
  <c r="W412" i="2" s="1"/>
  <c r="BR412" i="2" s="1"/>
  <c r="P412" i="2"/>
  <c r="Y412" i="2" s="1"/>
  <c r="O412" i="2"/>
  <c r="X412" i="2" s="1"/>
  <c r="I412" i="2"/>
  <c r="G412" i="2"/>
  <c r="J412" i="2" s="1"/>
  <c r="BO411" i="2"/>
  <c r="W411" i="2"/>
  <c r="BR411" i="2" s="1"/>
  <c r="V411" i="2"/>
  <c r="BT411" i="2" s="1"/>
  <c r="T411" i="2"/>
  <c r="S411" i="2"/>
  <c r="R411" i="2"/>
  <c r="Q411" i="2"/>
  <c r="Z411" i="2" s="1"/>
  <c r="P411" i="2"/>
  <c r="Y411" i="2" s="1"/>
  <c r="O411" i="2"/>
  <c r="X411" i="2" s="1"/>
  <c r="J411" i="2"/>
  <c r="I411" i="2"/>
  <c r="G411" i="2"/>
  <c r="BT410" i="2"/>
  <c r="V410" i="2"/>
  <c r="T410" i="2"/>
  <c r="S410" i="2"/>
  <c r="R410" i="2"/>
  <c r="Q410" i="2"/>
  <c r="P410" i="2"/>
  <c r="Y410" i="2" s="1"/>
  <c r="O410" i="2"/>
  <c r="BN410" i="2" s="1"/>
  <c r="G410" i="2"/>
  <c r="BO409" i="2"/>
  <c r="BN409" i="2"/>
  <c r="AB409" i="2"/>
  <c r="Y409" i="2"/>
  <c r="X409" i="2"/>
  <c r="W409" i="2"/>
  <c r="BR409" i="2" s="1"/>
  <c r="T409" i="2"/>
  <c r="S409" i="2"/>
  <c r="V409" i="2" s="1"/>
  <c r="BT409" i="2" s="1"/>
  <c r="R409" i="2"/>
  <c r="Q409" i="2"/>
  <c r="Z409" i="2" s="1"/>
  <c r="P409" i="2"/>
  <c r="O409" i="2"/>
  <c r="U409" i="2" s="1"/>
  <c r="BQ409" i="2" s="1"/>
  <c r="BS409" i="2" s="1"/>
  <c r="BV409" i="2" s="1"/>
  <c r="J409" i="2"/>
  <c r="I409" i="2"/>
  <c r="G409" i="2"/>
  <c r="BT408" i="2"/>
  <c r="BN408" i="2"/>
  <c r="BI408" i="2"/>
  <c r="AZ408" i="2"/>
  <c r="W408" i="2"/>
  <c r="V408" i="2"/>
  <c r="T408" i="2"/>
  <c r="S408" i="2"/>
  <c r="R408" i="2"/>
  <c r="Q408" i="2"/>
  <c r="P408" i="2"/>
  <c r="Y408" i="2" s="1"/>
  <c r="O408" i="2"/>
  <c r="X408" i="2" s="1"/>
  <c r="M408" i="2"/>
  <c r="G408" i="2"/>
  <c r="BM407" i="2"/>
  <c r="BL407" i="2"/>
  <c r="BK407" i="2"/>
  <c r="BJ407" i="2"/>
  <c r="BI407" i="2"/>
  <c r="BH407" i="2"/>
  <c r="BG407" i="2"/>
  <c r="BF407" i="2"/>
  <c r="BE407" i="2"/>
  <c r="BD407" i="2"/>
  <c r="BC407" i="2"/>
  <c r="BB407" i="2"/>
  <c r="BA407" i="2"/>
  <c r="AZ407" i="2"/>
  <c r="AY407" i="2"/>
  <c r="AX407" i="2"/>
  <c r="AW407" i="2"/>
  <c r="AV407" i="2"/>
  <c r="AU407" i="2"/>
  <c r="AT407" i="2"/>
  <c r="AS407" i="2"/>
  <c r="AR407" i="2"/>
  <c r="AQ407" i="2"/>
  <c r="AP407" i="2"/>
  <c r="AO407" i="2"/>
  <c r="AN407" i="2"/>
  <c r="AM407" i="2"/>
  <c r="AL407" i="2"/>
  <c r="AK407" i="2"/>
  <c r="AJ407" i="2"/>
  <c r="AI407" i="2"/>
  <c r="AH407" i="2"/>
  <c r="AG407" i="2"/>
  <c r="AF407" i="2"/>
  <c r="AE407" i="2"/>
  <c r="AD407" i="2"/>
  <c r="AC407" i="2"/>
  <c r="AB407" i="2"/>
  <c r="AA407" i="2"/>
  <c r="N407" i="2"/>
  <c r="M407" i="2"/>
  <c r="L407" i="2"/>
  <c r="H407" i="2"/>
  <c r="G407" i="2"/>
  <c r="J407" i="2" s="1"/>
  <c r="F407" i="2"/>
  <c r="E407" i="2"/>
  <c r="BT406" i="2"/>
  <c r="BN406" i="2"/>
  <c r="BM406" i="2"/>
  <c r="BJ406" i="2"/>
  <c r="BG406" i="2"/>
  <c r="BD406" i="2"/>
  <c r="Q406" i="2" s="1"/>
  <c r="BA406" i="2"/>
  <c r="V406" i="2"/>
  <c r="T406" i="2"/>
  <c r="S406" i="2"/>
  <c r="R406" i="2"/>
  <c r="P406" i="2"/>
  <c r="Y406" i="2" s="1"/>
  <c r="O406" i="2"/>
  <c r="X406" i="2" s="1"/>
  <c r="N406" i="2"/>
  <c r="G406" i="2"/>
  <c r="AX405" i="2"/>
  <c r="AU405" i="2"/>
  <c r="AL405" i="2"/>
  <c r="U405" i="2"/>
  <c r="BQ405" i="2" s="1"/>
  <c r="T405" i="2"/>
  <c r="S405" i="2"/>
  <c r="V405" i="2" s="1"/>
  <c r="BT405" i="2" s="1"/>
  <c r="R405" i="2"/>
  <c r="P405" i="2"/>
  <c r="Y405" i="2" s="1"/>
  <c r="O405" i="2"/>
  <c r="N405" i="2"/>
  <c r="J405" i="2"/>
  <c r="I405" i="2"/>
  <c r="G405" i="2"/>
  <c r="BT404" i="2"/>
  <c r="V404" i="2"/>
  <c r="T404" i="2"/>
  <c r="S404" i="2"/>
  <c r="R404" i="2"/>
  <c r="Q404" i="2"/>
  <c r="P404" i="2"/>
  <c r="Y404" i="2" s="1"/>
  <c r="O404" i="2"/>
  <c r="BN404" i="2" s="1"/>
  <c r="G404" i="2"/>
  <c r="BO403" i="2"/>
  <c r="Y403" i="2"/>
  <c r="X403" i="2"/>
  <c r="T403" i="2"/>
  <c r="S403" i="2"/>
  <c r="V403" i="2" s="1"/>
  <c r="BT403" i="2" s="1"/>
  <c r="R403" i="2"/>
  <c r="Q403" i="2"/>
  <c r="Z403" i="2" s="1"/>
  <c r="P403" i="2"/>
  <c r="O403" i="2"/>
  <c r="BN403" i="2" s="1"/>
  <c r="G403" i="2"/>
  <c r="J403" i="2" s="1"/>
  <c r="BA402" i="2"/>
  <c r="AX402" i="2"/>
  <c r="AU402" i="2"/>
  <c r="AR402" i="2"/>
  <c r="Q402" i="2" s="1"/>
  <c r="V402" i="2"/>
  <c r="BT402" i="2" s="1"/>
  <c r="T402" i="2"/>
  <c r="S402" i="2"/>
  <c r="R402" i="2"/>
  <c r="P402" i="2"/>
  <c r="Y402" i="2" s="1"/>
  <c r="O402" i="2"/>
  <c r="BN402" i="2" s="1"/>
  <c r="N402" i="2"/>
  <c r="I402" i="2"/>
  <c r="G402" i="2"/>
  <c r="BM401" i="2"/>
  <c r="T401" i="2" s="1"/>
  <c r="BJ401" i="2"/>
  <c r="BG401" i="2"/>
  <c r="BD401" i="2"/>
  <c r="BA401" i="2"/>
  <c r="Q401" i="2" s="1"/>
  <c r="Y401" i="2"/>
  <c r="X401" i="2"/>
  <c r="V401" i="2"/>
  <c r="BT401" i="2" s="1"/>
  <c r="S401" i="2"/>
  <c r="R401" i="2"/>
  <c r="P401" i="2"/>
  <c r="O401" i="2"/>
  <c r="U401" i="2" s="1"/>
  <c r="BQ401" i="2" s="1"/>
  <c r="I401" i="2"/>
  <c r="G401" i="2"/>
  <c r="J401" i="2" s="1"/>
  <c r="BP400" i="2"/>
  <c r="Y400" i="2"/>
  <c r="X400" i="2"/>
  <c r="T400" i="2"/>
  <c r="S400" i="2"/>
  <c r="V400" i="2" s="1"/>
  <c r="BT400" i="2" s="1"/>
  <c r="R400" i="2"/>
  <c r="Q400" i="2"/>
  <c r="BO400" i="2" s="1"/>
  <c r="P400" i="2"/>
  <c r="O400" i="2"/>
  <c r="BN400" i="2" s="1"/>
  <c r="N400" i="2"/>
  <c r="W400" i="2" s="1"/>
  <c r="BR400" i="2" s="1"/>
  <c r="J400" i="2"/>
  <c r="G400" i="2"/>
  <c r="I400" i="2" s="1"/>
  <c r="BN399" i="2"/>
  <c r="BA399" i="2"/>
  <c r="W399" i="2"/>
  <c r="BR399" i="2" s="1"/>
  <c r="V399" i="2"/>
  <c r="BT399" i="2" s="1"/>
  <c r="T399" i="2"/>
  <c r="S399" i="2"/>
  <c r="R399" i="2"/>
  <c r="Q399" i="2"/>
  <c r="Z399" i="2" s="1"/>
  <c r="P399" i="2"/>
  <c r="Y399" i="2" s="1"/>
  <c r="O399" i="2"/>
  <c r="X399" i="2" s="1"/>
  <c r="N399" i="2"/>
  <c r="G399" i="2"/>
  <c r="I399" i="2" s="1"/>
  <c r="BN398" i="2"/>
  <c r="BM398" i="2"/>
  <c r="BJ398" i="2"/>
  <c r="BG398" i="2"/>
  <c r="BD398" i="2"/>
  <c r="BA398" i="2"/>
  <c r="AX398" i="2"/>
  <c r="Q398" i="2" s="1"/>
  <c r="Y398" i="2"/>
  <c r="X398" i="2"/>
  <c r="T398" i="2"/>
  <c r="S398" i="2"/>
  <c r="V398" i="2" s="1"/>
  <c r="BT398" i="2" s="1"/>
  <c r="R398" i="2"/>
  <c r="P398" i="2"/>
  <c r="O398" i="2"/>
  <c r="U398" i="2" s="1"/>
  <c r="BQ398" i="2" s="1"/>
  <c r="N398" i="2"/>
  <c r="J398" i="2"/>
  <c r="I398" i="2"/>
  <c r="G398" i="2"/>
  <c r="Y397" i="2"/>
  <c r="W397" i="2"/>
  <c r="BR397" i="2" s="1"/>
  <c r="T397" i="2"/>
  <c r="S397" i="2"/>
  <c r="V397" i="2" s="1"/>
  <c r="BT397" i="2" s="1"/>
  <c r="R397" i="2"/>
  <c r="Q397" i="2"/>
  <c r="BO397" i="2" s="1"/>
  <c r="P397" i="2"/>
  <c r="O397" i="2"/>
  <c r="X397" i="2" s="1"/>
  <c r="J397" i="2"/>
  <c r="G397" i="2"/>
  <c r="I397" i="2" s="1"/>
  <c r="BT396" i="2"/>
  <c r="BM396" i="2"/>
  <c r="BJ396" i="2"/>
  <c r="BG396" i="2"/>
  <c r="BD396" i="2"/>
  <c r="BA396" i="2"/>
  <c r="AX396" i="2"/>
  <c r="AU396" i="2"/>
  <c r="AR396" i="2"/>
  <c r="AR394" i="2" s="1"/>
  <c r="X396" i="2"/>
  <c r="V396" i="2"/>
  <c r="T396" i="2"/>
  <c r="S396" i="2"/>
  <c r="R396" i="2"/>
  <c r="P396" i="2"/>
  <c r="Y396" i="2" s="1"/>
  <c r="O396" i="2"/>
  <c r="BN396" i="2" s="1"/>
  <c r="N396" i="2"/>
  <c r="I396" i="2"/>
  <c r="G396" i="2"/>
  <c r="J396" i="2" s="1"/>
  <c r="BM395" i="2"/>
  <c r="T395" i="2" s="1"/>
  <c r="T394" i="2" s="1"/>
  <c r="BJ395" i="2"/>
  <c r="BJ394" i="2" s="1"/>
  <c r="BG395" i="2"/>
  <c r="BG394" i="2" s="1"/>
  <c r="BD395" i="2"/>
  <c r="BA395" i="2"/>
  <c r="AX395" i="2"/>
  <c r="Y395" i="2"/>
  <c r="X395" i="2"/>
  <c r="S395" i="2"/>
  <c r="V395" i="2" s="1"/>
  <c r="R395" i="2"/>
  <c r="R394" i="2" s="1"/>
  <c r="Q395" i="2"/>
  <c r="P395" i="2"/>
  <c r="P394" i="2" s="1"/>
  <c r="Y394" i="2" s="1"/>
  <c r="O395" i="2"/>
  <c r="BN395" i="2" s="1"/>
  <c r="N395" i="2"/>
  <c r="G395" i="2"/>
  <c r="J395" i="2" s="1"/>
  <c r="BL394" i="2"/>
  <c r="BK394" i="2"/>
  <c r="BI394" i="2"/>
  <c r="BH394" i="2"/>
  <c r="BF394" i="2"/>
  <c r="BE394" i="2"/>
  <c r="BC394" i="2"/>
  <c r="BB394" i="2"/>
  <c r="BA394" i="2"/>
  <c r="AZ394" i="2"/>
  <c r="AY394" i="2"/>
  <c r="AW394" i="2"/>
  <c r="AV394" i="2"/>
  <c r="AU394" i="2"/>
  <c r="AT394" i="2"/>
  <c r="AS394" i="2"/>
  <c r="AQ394" i="2"/>
  <c r="AP394" i="2"/>
  <c r="AO394" i="2"/>
  <c r="AN394" i="2"/>
  <c r="AM394" i="2"/>
  <c r="AK394" i="2"/>
  <c r="AJ394" i="2"/>
  <c r="AI394" i="2"/>
  <c r="AH394" i="2"/>
  <c r="AG394" i="2"/>
  <c r="AF394" i="2"/>
  <c r="AE394" i="2"/>
  <c r="AD394" i="2"/>
  <c r="AC394" i="2"/>
  <c r="AB394" i="2"/>
  <c r="AA394" i="2"/>
  <c r="S394" i="2"/>
  <c r="M394" i="2"/>
  <c r="L394" i="2"/>
  <c r="K394" i="2"/>
  <c r="H394" i="2"/>
  <c r="F394" i="2"/>
  <c r="E394" i="2"/>
  <c r="Y393" i="2"/>
  <c r="X393" i="2"/>
  <c r="T393" i="2"/>
  <c r="S393" i="2"/>
  <c r="V393" i="2" s="1"/>
  <c r="BT393" i="2" s="1"/>
  <c r="R393" i="2"/>
  <c r="Q393" i="2"/>
  <c r="BO393" i="2" s="1"/>
  <c r="P393" i="2"/>
  <c r="O393" i="2"/>
  <c r="U393" i="2" s="1"/>
  <c r="BQ393" i="2" s="1"/>
  <c r="G393" i="2"/>
  <c r="J393" i="2" s="1"/>
  <c r="BO392" i="2"/>
  <c r="Z392" i="2"/>
  <c r="V392" i="2"/>
  <c r="BT392" i="2" s="1"/>
  <c r="T392" i="2"/>
  <c r="S392" i="2"/>
  <c r="R392" i="2"/>
  <c r="Q392" i="2"/>
  <c r="W392" i="2" s="1"/>
  <c r="BR392" i="2" s="1"/>
  <c r="P392" i="2"/>
  <c r="Y392" i="2" s="1"/>
  <c r="O392" i="2"/>
  <c r="X392" i="2" s="1"/>
  <c r="J392" i="2"/>
  <c r="I392" i="2"/>
  <c r="G392" i="2"/>
  <c r="BN391" i="2"/>
  <c r="BJ391" i="2"/>
  <c r="V391" i="2"/>
  <c r="BT391" i="2" s="1"/>
  <c r="T391" i="2"/>
  <c r="S391" i="2"/>
  <c r="R391" i="2"/>
  <c r="Q391" i="2"/>
  <c r="Z391" i="2" s="1"/>
  <c r="P391" i="2"/>
  <c r="Y391" i="2" s="1"/>
  <c r="O391" i="2"/>
  <c r="X391" i="2" s="1"/>
  <c r="N391" i="2"/>
  <c r="G391" i="2"/>
  <c r="J391" i="2" s="1"/>
  <c r="Y390" i="2"/>
  <c r="X390" i="2"/>
  <c r="T390" i="2"/>
  <c r="S390" i="2"/>
  <c r="V390" i="2" s="1"/>
  <c r="BT390" i="2" s="1"/>
  <c r="R390" i="2"/>
  <c r="Q390" i="2"/>
  <c r="BO390" i="2" s="1"/>
  <c r="P390" i="2"/>
  <c r="O390" i="2"/>
  <c r="BN390" i="2" s="1"/>
  <c r="BP390" i="2" s="1"/>
  <c r="N390" i="2"/>
  <c r="J390" i="2"/>
  <c r="I390" i="2"/>
  <c r="G390" i="2"/>
  <c r="BO389" i="2"/>
  <c r="Z389" i="2"/>
  <c r="Y389" i="2"/>
  <c r="T389" i="2"/>
  <c r="S389" i="2"/>
  <c r="V389" i="2" s="1"/>
  <c r="BT389" i="2" s="1"/>
  <c r="R389" i="2"/>
  <c r="Q389" i="2"/>
  <c r="W389" i="2" s="1"/>
  <c r="BR389" i="2" s="1"/>
  <c r="P389" i="2"/>
  <c r="O389" i="2"/>
  <c r="X389" i="2" s="1"/>
  <c r="J389" i="2"/>
  <c r="I389" i="2"/>
  <c r="G389" i="2"/>
  <c r="BT388" i="2"/>
  <c r="BO388" i="2"/>
  <c r="Z388" i="2"/>
  <c r="V388" i="2"/>
  <c r="T388" i="2"/>
  <c r="S388" i="2"/>
  <c r="R388" i="2"/>
  <c r="Q388" i="2"/>
  <c r="W388" i="2" s="1"/>
  <c r="BR388" i="2" s="1"/>
  <c r="P388" i="2"/>
  <c r="Y388" i="2" s="1"/>
  <c r="O388" i="2"/>
  <c r="X388" i="2" s="1"/>
  <c r="J388" i="2"/>
  <c r="I388" i="2"/>
  <c r="G388" i="2"/>
  <c r="BG387" i="2"/>
  <c r="BD387" i="2"/>
  <c r="BA387" i="2"/>
  <c r="AX387" i="2"/>
  <c r="Q387" i="2" s="1"/>
  <c r="Y387" i="2"/>
  <c r="T387" i="2"/>
  <c r="S387" i="2"/>
  <c r="V387" i="2" s="1"/>
  <c r="BT387" i="2" s="1"/>
  <c r="R387" i="2"/>
  <c r="P387" i="2"/>
  <c r="O387" i="2"/>
  <c r="X387" i="2" s="1"/>
  <c r="J387" i="2"/>
  <c r="I387" i="2"/>
  <c r="G387" i="2"/>
  <c r="BN386" i="2"/>
  <c r="AX386" i="2"/>
  <c r="V386" i="2"/>
  <c r="BT386" i="2" s="1"/>
  <c r="T386" i="2"/>
  <c r="S386" i="2"/>
  <c r="R386" i="2"/>
  <c r="Q386" i="2"/>
  <c r="Z386" i="2" s="1"/>
  <c r="P386" i="2"/>
  <c r="Y386" i="2" s="1"/>
  <c r="O386" i="2"/>
  <c r="X386" i="2" s="1"/>
  <c r="N386" i="2"/>
  <c r="G386" i="2"/>
  <c r="J386" i="2" s="1"/>
  <c r="BI385" i="2"/>
  <c r="BF385" i="2"/>
  <c r="BC385" i="2"/>
  <c r="BC374" i="2" s="1"/>
  <c r="BC371" i="2" s="1"/>
  <c r="AZ385" i="2"/>
  <c r="AW385" i="2"/>
  <c r="AQ385" i="2"/>
  <c r="AK385" i="2"/>
  <c r="P385" i="2" s="1"/>
  <c r="Y385" i="2" s="1"/>
  <c r="Z385" i="2"/>
  <c r="X385" i="2"/>
  <c r="T385" i="2"/>
  <c r="S385" i="2"/>
  <c r="R385" i="2"/>
  <c r="Q385" i="2"/>
  <c r="BO385" i="2" s="1"/>
  <c r="O385" i="2"/>
  <c r="BN385" i="2" s="1"/>
  <c r="M385" i="2"/>
  <c r="V385" i="2" s="1"/>
  <c r="BT385" i="2" s="1"/>
  <c r="J385" i="2"/>
  <c r="I385" i="2"/>
  <c r="G385" i="2"/>
  <c r="BO384" i="2"/>
  <c r="BN384" i="2"/>
  <c r="BP384" i="2" s="1"/>
  <c r="BI384" i="2"/>
  <c r="BF384" i="2"/>
  <c r="AZ384" i="2"/>
  <c r="AW384" i="2"/>
  <c r="P384" i="2" s="1"/>
  <c r="Y384" i="2" s="1"/>
  <c r="Z384" i="2"/>
  <c r="X384" i="2"/>
  <c r="T384" i="2"/>
  <c r="S384" i="2"/>
  <c r="R384" i="2"/>
  <c r="Q384" i="2"/>
  <c r="W384" i="2" s="1"/>
  <c r="BR384" i="2" s="1"/>
  <c r="O384" i="2"/>
  <c r="U384" i="2" s="1"/>
  <c r="BQ384" i="2" s="1"/>
  <c r="BS384" i="2" s="1"/>
  <c r="BV384" i="2" s="1"/>
  <c r="M384" i="2"/>
  <c r="V384" i="2" s="1"/>
  <c r="BT384" i="2" s="1"/>
  <c r="J384" i="2"/>
  <c r="I384" i="2"/>
  <c r="G384" i="2"/>
  <c r="BO383" i="2"/>
  <c r="BN383" i="2"/>
  <c r="BP383" i="2" s="1"/>
  <c r="AW383" i="2"/>
  <c r="AQ383" i="2"/>
  <c r="AN383" i="2"/>
  <c r="AK383" i="2"/>
  <c r="P383" i="2" s="1"/>
  <c r="Y383" i="2" s="1"/>
  <c r="Z383" i="2"/>
  <c r="X383" i="2"/>
  <c r="T383" i="2"/>
  <c r="S383" i="2"/>
  <c r="V383" i="2" s="1"/>
  <c r="BT383" i="2" s="1"/>
  <c r="R383" i="2"/>
  <c r="Q383" i="2"/>
  <c r="W383" i="2" s="1"/>
  <c r="BR383" i="2" s="1"/>
  <c r="O383" i="2"/>
  <c r="U383" i="2" s="1"/>
  <c r="BQ383" i="2" s="1"/>
  <c r="BS383" i="2" s="1"/>
  <c r="BV383" i="2" s="1"/>
  <c r="J383" i="2"/>
  <c r="I383" i="2"/>
  <c r="G383" i="2"/>
  <c r="BN382" i="2"/>
  <c r="BF382" i="2"/>
  <c r="BF374" i="2" s="1"/>
  <c r="AZ382" i="2"/>
  <c r="P382" i="2" s="1"/>
  <c r="Y382" i="2" s="1"/>
  <c r="AW382" i="2"/>
  <c r="AK382" i="2"/>
  <c r="X382" i="2"/>
  <c r="T382" i="2"/>
  <c r="S382" i="2"/>
  <c r="R382" i="2"/>
  <c r="Q382" i="2"/>
  <c r="BO382" i="2" s="1"/>
  <c r="O382" i="2"/>
  <c r="U382" i="2" s="1"/>
  <c r="BQ382" i="2" s="1"/>
  <c r="M382" i="2"/>
  <c r="V382" i="2" s="1"/>
  <c r="BT382" i="2" s="1"/>
  <c r="J382" i="2"/>
  <c r="I382" i="2"/>
  <c r="G382" i="2"/>
  <c r="AH381" i="2"/>
  <c r="P381" i="2" s="1"/>
  <c r="Y381" i="2" s="1"/>
  <c r="Z381" i="2"/>
  <c r="V381" i="2"/>
  <c r="BT381" i="2" s="1"/>
  <c r="T381" i="2"/>
  <c r="S381" i="2"/>
  <c r="R381" i="2"/>
  <c r="Q381" i="2"/>
  <c r="BO381" i="2" s="1"/>
  <c r="O381" i="2"/>
  <c r="J381" i="2"/>
  <c r="I381" i="2"/>
  <c r="G381" i="2"/>
  <c r="BO380" i="2"/>
  <c r="V380" i="2"/>
  <c r="BT380" i="2" s="1"/>
  <c r="T380" i="2"/>
  <c r="S380" i="2"/>
  <c r="R380" i="2"/>
  <c r="Q380" i="2"/>
  <c r="Z380" i="2" s="1"/>
  <c r="P380" i="2"/>
  <c r="Y380" i="2" s="1"/>
  <c r="O380" i="2"/>
  <c r="X380" i="2" s="1"/>
  <c r="G380" i="2"/>
  <c r="J380" i="2" s="1"/>
  <c r="BO379" i="2"/>
  <c r="BF379" i="2"/>
  <c r="BC379" i="2"/>
  <c r="AZ379" i="2"/>
  <c r="AZ374" i="2" s="1"/>
  <c r="AW379" i="2"/>
  <c r="AW374" i="2" s="1"/>
  <c r="AW371" i="2" s="1"/>
  <c r="AT379" i="2"/>
  <c r="AT374" i="2" s="1"/>
  <c r="AQ379" i="2"/>
  <c r="AN379" i="2"/>
  <c r="AK379" i="2"/>
  <c r="AH379" i="2"/>
  <c r="AH374" i="2" s="1"/>
  <c r="Z379" i="2"/>
  <c r="T379" i="2"/>
  <c r="S379" i="2"/>
  <c r="R379" i="2"/>
  <c r="Q379" i="2"/>
  <c r="W379" i="2" s="1"/>
  <c r="BR379" i="2" s="1"/>
  <c r="O379" i="2"/>
  <c r="BN379" i="2" s="1"/>
  <c r="BP379" i="2" s="1"/>
  <c r="M379" i="2"/>
  <c r="J379" i="2"/>
  <c r="I379" i="2"/>
  <c r="G379" i="2"/>
  <c r="BN378" i="2"/>
  <c r="AO378" i="2"/>
  <c r="X378" i="2"/>
  <c r="W378" i="2"/>
  <c r="BR378" i="2" s="1"/>
  <c r="V378" i="2"/>
  <c r="BT378" i="2" s="1"/>
  <c r="T378" i="2"/>
  <c r="S378" i="2"/>
  <c r="R378" i="2"/>
  <c r="Q378" i="2"/>
  <c r="Z378" i="2" s="1"/>
  <c r="P378" i="2"/>
  <c r="Y378" i="2" s="1"/>
  <c r="O378" i="2"/>
  <c r="U378" i="2" s="1"/>
  <c r="BQ378" i="2" s="1"/>
  <c r="G378" i="2"/>
  <c r="J378" i="2" s="1"/>
  <c r="BJ377" i="2"/>
  <c r="BG377" i="2"/>
  <c r="Q377" i="2" s="1"/>
  <c r="Z377" i="2" s="1"/>
  <c r="Y377" i="2"/>
  <c r="T377" i="2"/>
  <c r="S377" i="2"/>
  <c r="V377" i="2" s="1"/>
  <c r="BT377" i="2" s="1"/>
  <c r="R377" i="2"/>
  <c r="P377" i="2"/>
  <c r="O377" i="2"/>
  <c r="X377" i="2" s="1"/>
  <c r="J377" i="2"/>
  <c r="I377" i="2"/>
  <c r="G377" i="2"/>
  <c r="BT376" i="2"/>
  <c r="BN376" i="2"/>
  <c r="BA376" i="2"/>
  <c r="V376" i="2"/>
  <c r="T376" i="2"/>
  <c r="S376" i="2"/>
  <c r="R376" i="2"/>
  <c r="Q376" i="2"/>
  <c r="Z376" i="2" s="1"/>
  <c r="P376" i="2"/>
  <c r="Y376" i="2" s="1"/>
  <c r="O376" i="2"/>
  <c r="X376" i="2" s="1"/>
  <c r="G376" i="2"/>
  <c r="J376" i="2" s="1"/>
  <c r="BP375" i="2"/>
  <c r="BO375" i="2"/>
  <c r="AR375" i="2"/>
  <c r="AQ375" i="2"/>
  <c r="AN375" i="2"/>
  <c r="AN374" i="2" s="1"/>
  <c r="Z375" i="2"/>
  <c r="T375" i="2"/>
  <c r="T374" i="2" s="1"/>
  <c r="S375" i="2"/>
  <c r="V375" i="2" s="1"/>
  <c r="R375" i="2"/>
  <c r="Q375" i="2"/>
  <c r="W375" i="2" s="1"/>
  <c r="O375" i="2"/>
  <c r="BN375" i="2" s="1"/>
  <c r="J375" i="2"/>
  <c r="I375" i="2"/>
  <c r="G375" i="2"/>
  <c r="BM374" i="2"/>
  <c r="BL374" i="2"/>
  <c r="BK374" i="2"/>
  <c r="BJ374" i="2"/>
  <c r="BI374" i="2"/>
  <c r="BI371" i="2" s="1"/>
  <c r="BH374" i="2"/>
  <c r="BE374" i="2"/>
  <c r="BD374" i="2"/>
  <c r="BB374" i="2"/>
  <c r="BA374" i="2"/>
  <c r="AY374" i="2"/>
  <c r="AV374" i="2"/>
  <c r="AU374" i="2"/>
  <c r="AS374" i="2"/>
  <c r="AR374" i="2"/>
  <c r="AQ374" i="2"/>
  <c r="AQ371" i="2" s="1"/>
  <c r="AP374" i="2"/>
  <c r="AO374" i="2"/>
  <c r="AM374" i="2"/>
  <c r="AL374" i="2"/>
  <c r="AK374" i="2"/>
  <c r="AK371" i="2" s="1"/>
  <c r="AJ374" i="2"/>
  <c r="AI374" i="2"/>
  <c r="AG374" i="2"/>
  <c r="AF374" i="2"/>
  <c r="AE374" i="2"/>
  <c r="AE371" i="2" s="1"/>
  <c r="AD374" i="2"/>
  <c r="AC374" i="2"/>
  <c r="AB374" i="2"/>
  <c r="AA374" i="2"/>
  <c r="R374" i="2"/>
  <c r="N374" i="2"/>
  <c r="L374" i="2"/>
  <c r="K374" i="2"/>
  <c r="H374" i="2"/>
  <c r="G374" i="2"/>
  <c r="J374" i="2" s="1"/>
  <c r="F374" i="2"/>
  <c r="E374" i="2"/>
  <c r="BO373" i="2"/>
  <c r="BO372" i="2" s="1"/>
  <c r="Y373" i="2"/>
  <c r="T373" i="2"/>
  <c r="T372" i="2" s="1"/>
  <c r="S373" i="2"/>
  <c r="S372" i="2" s="1"/>
  <c r="R373" i="2"/>
  <c r="Q373" i="2"/>
  <c r="P373" i="2"/>
  <c r="O373" i="2"/>
  <c r="X373" i="2" s="1"/>
  <c r="N373" i="2"/>
  <c r="BM372" i="2"/>
  <c r="BL372" i="2"/>
  <c r="BK372" i="2"/>
  <c r="BJ372" i="2"/>
  <c r="BI372" i="2"/>
  <c r="BH372" i="2"/>
  <c r="BH371" i="2" s="1"/>
  <c r="BG372" i="2"/>
  <c r="BF372" i="2"/>
  <c r="BF371" i="2" s="1"/>
  <c r="BE372" i="2"/>
  <c r="BD372" i="2"/>
  <c r="BC372" i="2"/>
  <c r="BB372" i="2"/>
  <c r="BB371" i="2" s="1"/>
  <c r="BA372" i="2"/>
  <c r="BA371" i="2" s="1"/>
  <c r="AZ372" i="2"/>
  <c r="AY372" i="2"/>
  <c r="AX372" i="2"/>
  <c r="AW372" i="2"/>
  <c r="AV372" i="2"/>
  <c r="AV371" i="2" s="1"/>
  <c r="AU372" i="2"/>
  <c r="AU371" i="2" s="1"/>
  <c r="AT372" i="2"/>
  <c r="AT371" i="2" s="1"/>
  <c r="AS372" i="2"/>
  <c r="AR372" i="2"/>
  <c r="AQ372" i="2"/>
  <c r="AP372" i="2"/>
  <c r="AP371" i="2" s="1"/>
  <c r="AO372" i="2"/>
  <c r="AO371" i="2" s="1"/>
  <c r="AN372" i="2"/>
  <c r="AM372" i="2"/>
  <c r="AL372" i="2"/>
  <c r="AK372" i="2"/>
  <c r="AJ372" i="2"/>
  <c r="AI372" i="2"/>
  <c r="AI371" i="2" s="1"/>
  <c r="AH372" i="2"/>
  <c r="AG372" i="2"/>
  <c r="AF372" i="2"/>
  <c r="AE372" i="2"/>
  <c r="AD372" i="2"/>
  <c r="AD371" i="2" s="1"/>
  <c r="AC372" i="2"/>
  <c r="AC371" i="2" s="1"/>
  <c r="AB372" i="2"/>
  <c r="AB371" i="2" s="1"/>
  <c r="AA372" i="2"/>
  <c r="R372" i="2"/>
  <c r="Q372" i="2"/>
  <c r="P372" i="2"/>
  <c r="Y372" i="2" s="1"/>
  <c r="M372" i="2"/>
  <c r="L372" i="2"/>
  <c r="K372" i="2"/>
  <c r="J372" i="2"/>
  <c r="I372" i="2"/>
  <c r="H372" i="2"/>
  <c r="G372" i="2"/>
  <c r="F372" i="2"/>
  <c r="F371" i="2" s="1"/>
  <c r="E372" i="2"/>
  <c r="E371" i="2" s="1"/>
  <c r="BL371" i="2"/>
  <c r="BK371" i="2"/>
  <c r="BJ371" i="2"/>
  <c r="BE371" i="2"/>
  <c r="AZ371" i="2"/>
  <c r="AY371" i="2"/>
  <c r="AS371" i="2"/>
  <c r="AR371" i="2"/>
  <c r="AN371" i="2"/>
  <c r="AM371" i="2"/>
  <c r="AH371" i="2"/>
  <c r="AG371" i="2"/>
  <c r="AF371" i="2"/>
  <c r="AA371" i="2"/>
  <c r="H371" i="2"/>
  <c r="BN370" i="2"/>
  <c r="BJ370" i="2"/>
  <c r="Y370" i="2"/>
  <c r="X370" i="2"/>
  <c r="T370" i="2"/>
  <c r="T369" i="2" s="1"/>
  <c r="S370" i="2"/>
  <c r="R370" i="2"/>
  <c r="R369" i="2" s="1"/>
  <c r="Q370" i="2"/>
  <c r="Z370" i="2" s="1"/>
  <c r="P370" i="2"/>
  <c r="O370" i="2"/>
  <c r="U370" i="2" s="1"/>
  <c r="U369" i="2" s="1"/>
  <c r="G370" i="2"/>
  <c r="BN369" i="2"/>
  <c r="BM369" i="2"/>
  <c r="BM358" i="2" s="1"/>
  <c r="BL369" i="2"/>
  <c r="BL358" i="2" s="1"/>
  <c r="BK369" i="2"/>
  <c r="BJ369" i="2"/>
  <c r="BI369" i="2"/>
  <c r="BH369" i="2"/>
  <c r="BG369" i="2"/>
  <c r="BF369" i="2"/>
  <c r="BF358" i="2" s="1"/>
  <c r="BE369" i="2"/>
  <c r="BD369" i="2"/>
  <c r="BC369" i="2"/>
  <c r="BB369" i="2"/>
  <c r="BA369" i="2"/>
  <c r="AZ369" i="2"/>
  <c r="AZ358" i="2" s="1"/>
  <c r="AY369" i="2"/>
  <c r="AX369" i="2"/>
  <c r="AW369" i="2"/>
  <c r="AV369" i="2"/>
  <c r="AU369" i="2"/>
  <c r="AT369" i="2"/>
  <c r="AT358" i="2" s="1"/>
  <c r="AS369" i="2"/>
  <c r="AR369" i="2"/>
  <c r="AQ369" i="2"/>
  <c r="AP369" i="2"/>
  <c r="AO369" i="2"/>
  <c r="AN369" i="2"/>
  <c r="AN358" i="2" s="1"/>
  <c r="AM369" i="2"/>
  <c r="AL369" i="2"/>
  <c r="AK369" i="2"/>
  <c r="AJ369" i="2"/>
  <c r="AI369" i="2"/>
  <c r="AH369" i="2"/>
  <c r="AH358" i="2" s="1"/>
  <c r="AG369" i="2"/>
  <c r="AF369" i="2"/>
  <c r="AE369" i="2"/>
  <c r="AD369" i="2"/>
  <c r="AC369" i="2"/>
  <c r="AC358" i="2" s="1"/>
  <c r="AB369" i="2"/>
  <c r="AB358" i="2" s="1"/>
  <c r="AA369" i="2"/>
  <c r="Q369" i="2"/>
  <c r="Z369" i="2" s="1"/>
  <c r="P369" i="2"/>
  <c r="Y369" i="2" s="1"/>
  <c r="O369" i="2"/>
  <c r="X369" i="2" s="1"/>
  <c r="N369" i="2"/>
  <c r="M369" i="2"/>
  <c r="L369" i="2"/>
  <c r="K369" i="2"/>
  <c r="K358" i="2" s="1"/>
  <c r="H369" i="2"/>
  <c r="F369" i="2"/>
  <c r="E369" i="2"/>
  <c r="E358" i="2" s="1"/>
  <c r="Y368" i="2"/>
  <c r="X368" i="2"/>
  <c r="T368" i="2"/>
  <c r="S368" i="2"/>
  <c r="V368" i="2" s="1"/>
  <c r="BT368" i="2" s="1"/>
  <c r="R368" i="2"/>
  <c r="R359" i="2" s="1"/>
  <c r="Q368" i="2"/>
  <c r="BO368" i="2" s="1"/>
  <c r="P368" i="2"/>
  <c r="O368" i="2"/>
  <c r="BN368" i="2" s="1"/>
  <c r="G368" i="2"/>
  <c r="J368" i="2" s="1"/>
  <c r="BR367" i="2"/>
  <c r="Z367" i="2"/>
  <c r="Y367" i="2"/>
  <c r="X367" i="2"/>
  <c r="T367" i="2"/>
  <c r="S367" i="2"/>
  <c r="V367" i="2" s="1"/>
  <c r="BT367" i="2" s="1"/>
  <c r="R367" i="2"/>
  <c r="Q367" i="2"/>
  <c r="W367" i="2" s="1"/>
  <c r="P367" i="2"/>
  <c r="O367" i="2"/>
  <c r="BN367" i="2" s="1"/>
  <c r="J367" i="2"/>
  <c r="I367" i="2"/>
  <c r="G367" i="2"/>
  <c r="BO366" i="2"/>
  <c r="BN366" i="2"/>
  <c r="BP366" i="2" s="1"/>
  <c r="Z366" i="2"/>
  <c r="Y366" i="2"/>
  <c r="T366" i="2"/>
  <c r="S366" i="2"/>
  <c r="V366" i="2" s="1"/>
  <c r="BT366" i="2" s="1"/>
  <c r="R366" i="2"/>
  <c r="Q366" i="2"/>
  <c r="W366" i="2" s="1"/>
  <c r="BR366" i="2" s="1"/>
  <c r="P366" i="2"/>
  <c r="O366" i="2"/>
  <c r="X366" i="2" s="1"/>
  <c r="J366" i="2"/>
  <c r="I366" i="2"/>
  <c r="G366" i="2"/>
  <c r="BO365" i="2"/>
  <c r="Z365" i="2"/>
  <c r="V365" i="2"/>
  <c r="BT365" i="2" s="1"/>
  <c r="T365" i="2"/>
  <c r="S365" i="2"/>
  <c r="R365" i="2"/>
  <c r="Q365" i="2"/>
  <c r="W365" i="2" s="1"/>
  <c r="BR365" i="2" s="1"/>
  <c r="P365" i="2"/>
  <c r="Y365" i="2" s="1"/>
  <c r="O365" i="2"/>
  <c r="X365" i="2" s="1"/>
  <c r="J365" i="2"/>
  <c r="I365" i="2"/>
  <c r="G365" i="2"/>
  <c r="V364" i="2"/>
  <c r="BT364" i="2" s="1"/>
  <c r="T364" i="2"/>
  <c r="S364" i="2"/>
  <c r="R364" i="2"/>
  <c r="Q364" i="2"/>
  <c r="Z364" i="2" s="1"/>
  <c r="P364" i="2"/>
  <c r="Y364" i="2" s="1"/>
  <c r="O364" i="2"/>
  <c r="X364" i="2" s="1"/>
  <c r="N364" i="2"/>
  <c r="G364" i="2"/>
  <c r="BG363" i="2"/>
  <c r="BD363" i="2"/>
  <c r="Q363" i="2" s="1"/>
  <c r="BO363" i="2" s="1"/>
  <c r="Z363" i="2"/>
  <c r="Y363" i="2"/>
  <c r="T363" i="2"/>
  <c r="S363" i="2"/>
  <c r="V363" i="2" s="1"/>
  <c r="BT363" i="2" s="1"/>
  <c r="R363" i="2"/>
  <c r="P363" i="2"/>
  <c r="O363" i="2"/>
  <c r="N363" i="2"/>
  <c r="J363" i="2"/>
  <c r="I363" i="2"/>
  <c r="G363" i="2"/>
  <c r="W362" i="2"/>
  <c r="BR362" i="2" s="1"/>
  <c r="V362" i="2"/>
  <c r="BT362" i="2" s="1"/>
  <c r="T362" i="2"/>
  <c r="S362" i="2"/>
  <c r="R362" i="2"/>
  <c r="Q362" i="2"/>
  <c r="Z362" i="2" s="1"/>
  <c r="P362" i="2"/>
  <c r="Y362" i="2" s="1"/>
  <c r="O362" i="2"/>
  <c r="X362" i="2" s="1"/>
  <c r="N362" i="2"/>
  <c r="G362" i="2"/>
  <c r="BJ361" i="2"/>
  <c r="BG361" i="2"/>
  <c r="BG359" i="2" s="1"/>
  <c r="BG358" i="2" s="1"/>
  <c r="BD361" i="2"/>
  <c r="BD359" i="2" s="1"/>
  <c r="BD358" i="2" s="1"/>
  <c r="BA361" i="2"/>
  <c r="AX361" i="2"/>
  <c r="AU361" i="2"/>
  <c r="AR361" i="2"/>
  <c r="AO361" i="2"/>
  <c r="Y361" i="2"/>
  <c r="T361" i="2"/>
  <c r="S361" i="2"/>
  <c r="V361" i="2" s="1"/>
  <c r="BT361" i="2" s="1"/>
  <c r="R361" i="2"/>
  <c r="P361" i="2"/>
  <c r="O361" i="2"/>
  <c r="U361" i="2" s="1"/>
  <c r="BQ361" i="2" s="1"/>
  <c r="N361" i="2"/>
  <c r="J361" i="2"/>
  <c r="I361" i="2"/>
  <c r="G361" i="2"/>
  <c r="BJ360" i="2"/>
  <c r="BG360" i="2"/>
  <c r="BD360" i="2"/>
  <c r="BA360" i="2"/>
  <c r="BA359" i="2" s="1"/>
  <c r="BA358" i="2" s="1"/>
  <c r="AX360" i="2"/>
  <c r="AU360" i="2"/>
  <c r="AU359" i="2" s="1"/>
  <c r="AU358" i="2" s="1"/>
  <c r="AR360" i="2"/>
  <c r="AO360" i="2"/>
  <c r="AL360" i="2"/>
  <c r="AI360" i="2"/>
  <c r="Y360" i="2"/>
  <c r="U360" i="2"/>
  <c r="T360" i="2"/>
  <c r="T359" i="2" s="1"/>
  <c r="T358" i="2" s="1"/>
  <c r="S360" i="2"/>
  <c r="V360" i="2" s="1"/>
  <c r="R360" i="2"/>
  <c r="P360" i="2"/>
  <c r="O360" i="2"/>
  <c r="N360" i="2"/>
  <c r="J360" i="2"/>
  <c r="I360" i="2"/>
  <c r="G360" i="2"/>
  <c r="BM359" i="2"/>
  <c r="BL359" i="2"/>
  <c r="BK359" i="2"/>
  <c r="BK358" i="2" s="1"/>
  <c r="BJ359" i="2"/>
  <c r="BJ358" i="2" s="1"/>
  <c r="BI359" i="2"/>
  <c r="BI358" i="2" s="1"/>
  <c r="BH359" i="2"/>
  <c r="BF359" i="2"/>
  <c r="BE359" i="2"/>
  <c r="BE358" i="2" s="1"/>
  <c r="BC359" i="2"/>
  <c r="BB359" i="2"/>
  <c r="AZ359" i="2"/>
  <c r="AY359" i="2"/>
  <c r="AY358" i="2" s="1"/>
  <c r="AX359" i="2"/>
  <c r="AX358" i="2" s="1"/>
  <c r="AW359" i="2"/>
  <c r="AV359" i="2"/>
  <c r="AT359" i="2"/>
  <c r="AS359" i="2"/>
  <c r="AS358" i="2" s="1"/>
  <c r="AR359" i="2"/>
  <c r="AR358" i="2" s="1"/>
  <c r="AQ359" i="2"/>
  <c r="AQ358" i="2" s="1"/>
  <c r="AP359" i="2"/>
  <c r="AN359" i="2"/>
  <c r="AM359" i="2"/>
  <c r="AM358" i="2" s="1"/>
  <c r="AL359" i="2"/>
  <c r="AL358" i="2" s="1"/>
  <c r="AK359" i="2"/>
  <c r="AJ359" i="2"/>
  <c r="AH359" i="2"/>
  <c r="AG359" i="2"/>
  <c r="AG358" i="2" s="1"/>
  <c r="AF359" i="2"/>
  <c r="AF358" i="2" s="1"/>
  <c r="AE359" i="2"/>
  <c r="AE358" i="2" s="1"/>
  <c r="AD359" i="2"/>
  <c r="AC359" i="2"/>
  <c r="AB359" i="2"/>
  <c r="AA359" i="2"/>
  <c r="AA358" i="2" s="1"/>
  <c r="M359" i="2"/>
  <c r="L359" i="2"/>
  <c r="K359" i="2"/>
  <c r="H359" i="2"/>
  <c r="H358" i="2" s="1"/>
  <c r="F359" i="2"/>
  <c r="E359" i="2"/>
  <c r="BH358" i="2"/>
  <c r="BC358" i="2"/>
  <c r="BB358" i="2"/>
  <c r="AW358" i="2"/>
  <c r="AV358" i="2"/>
  <c r="AP358" i="2"/>
  <c r="AK358" i="2"/>
  <c r="AJ358" i="2"/>
  <c r="AD358" i="2"/>
  <c r="R358" i="2"/>
  <c r="M358" i="2"/>
  <c r="L358" i="2"/>
  <c r="F358" i="2"/>
  <c r="BT357" i="2"/>
  <c r="BT356" i="2" s="1"/>
  <c r="BO357" i="2"/>
  <c r="Z357" i="2"/>
  <c r="Y357" i="2"/>
  <c r="T357" i="2"/>
  <c r="T356" i="2" s="1"/>
  <c r="S357" i="2"/>
  <c r="V357" i="2" s="1"/>
  <c r="V356" i="2" s="1"/>
  <c r="R357" i="2"/>
  <c r="Q357" i="2"/>
  <c r="W357" i="2" s="1"/>
  <c r="BR357" i="2" s="1"/>
  <c r="BR356" i="2" s="1"/>
  <c r="P357" i="2"/>
  <c r="P356" i="2" s="1"/>
  <c r="O357" i="2"/>
  <c r="J357" i="2"/>
  <c r="I357" i="2"/>
  <c r="G357" i="2"/>
  <c r="BO356" i="2"/>
  <c r="BM356" i="2"/>
  <c r="BL356" i="2"/>
  <c r="BK356" i="2"/>
  <c r="BJ356" i="2"/>
  <c r="BI356" i="2"/>
  <c r="BH356" i="2"/>
  <c r="BH352" i="2" s="1"/>
  <c r="BG356" i="2"/>
  <c r="BF356" i="2"/>
  <c r="BE356" i="2"/>
  <c r="BD356" i="2"/>
  <c r="BC356" i="2"/>
  <c r="BC352" i="2" s="1"/>
  <c r="BB356" i="2"/>
  <c r="BB352" i="2" s="1"/>
  <c r="BA356" i="2"/>
  <c r="AZ356" i="2"/>
  <c r="AY356" i="2"/>
  <c r="AX356" i="2"/>
  <c r="AW356" i="2"/>
  <c r="AV356" i="2"/>
  <c r="AV352" i="2" s="1"/>
  <c r="AU356" i="2"/>
  <c r="AT356" i="2"/>
  <c r="AS356" i="2"/>
  <c r="AR356" i="2"/>
  <c r="AQ356" i="2"/>
  <c r="AP356" i="2"/>
  <c r="AP352" i="2" s="1"/>
  <c r="AO356" i="2"/>
  <c r="AN356" i="2"/>
  <c r="AM356" i="2"/>
  <c r="AL356" i="2"/>
  <c r="AK356" i="2"/>
  <c r="AK352" i="2" s="1"/>
  <c r="AJ356" i="2"/>
  <c r="AJ352" i="2" s="1"/>
  <c r="AI356" i="2"/>
  <c r="AH356" i="2"/>
  <c r="AG356" i="2"/>
  <c r="AF356" i="2"/>
  <c r="AE356" i="2"/>
  <c r="AD356" i="2"/>
  <c r="AD352" i="2" s="1"/>
  <c r="AC356" i="2"/>
  <c r="AC352" i="2" s="1"/>
  <c r="AB356" i="2"/>
  <c r="AA356" i="2"/>
  <c r="Y356" i="2"/>
  <c r="W356" i="2"/>
  <c r="S356" i="2"/>
  <c r="R356" i="2"/>
  <c r="Q356" i="2"/>
  <c r="Z356" i="2" s="1"/>
  <c r="N356" i="2"/>
  <c r="M356" i="2"/>
  <c r="L356" i="2"/>
  <c r="L352" i="2" s="1"/>
  <c r="K356" i="2"/>
  <c r="H356" i="2"/>
  <c r="G356" i="2"/>
  <c r="F356" i="2"/>
  <c r="E356" i="2"/>
  <c r="E352" i="2" s="1"/>
  <c r="BT355" i="2"/>
  <c r="BO355" i="2"/>
  <c r="Z355" i="2"/>
  <c r="Y355" i="2"/>
  <c r="T355" i="2"/>
  <c r="S355" i="2"/>
  <c r="V355" i="2" s="1"/>
  <c r="R355" i="2"/>
  <c r="Q355" i="2"/>
  <c r="W355" i="2" s="1"/>
  <c r="BR355" i="2" s="1"/>
  <c r="P355" i="2"/>
  <c r="O355" i="2"/>
  <c r="X355" i="2" s="1"/>
  <c r="I355" i="2"/>
  <c r="G355" i="2"/>
  <c r="BT354" i="2"/>
  <c r="BO354" i="2"/>
  <c r="Z354" i="2"/>
  <c r="V354" i="2"/>
  <c r="V353" i="2" s="1"/>
  <c r="V352" i="2" s="1"/>
  <c r="T354" i="2"/>
  <c r="T353" i="2" s="1"/>
  <c r="T352" i="2" s="1"/>
  <c r="S354" i="2"/>
  <c r="R354" i="2"/>
  <c r="Q354" i="2"/>
  <c r="Q353" i="2" s="1"/>
  <c r="P354" i="2"/>
  <c r="O354" i="2"/>
  <c r="J354" i="2" s="1"/>
  <c r="I354" i="2"/>
  <c r="G354" i="2"/>
  <c r="BT353" i="2"/>
  <c r="BT352" i="2" s="1"/>
  <c r="BO353" i="2"/>
  <c r="BM353" i="2"/>
  <c r="BL353" i="2"/>
  <c r="BK353" i="2"/>
  <c r="BK352" i="2" s="1"/>
  <c r="BJ353" i="2"/>
  <c r="BJ352" i="2" s="1"/>
  <c r="BI353" i="2"/>
  <c r="BI352" i="2" s="1"/>
  <c r="BI339" i="2" s="1"/>
  <c r="BI338" i="2" s="1"/>
  <c r="BH353" i="2"/>
  <c r="BG353" i="2"/>
  <c r="BF353" i="2"/>
  <c r="BE353" i="2"/>
  <c r="BE352" i="2" s="1"/>
  <c r="BD353" i="2"/>
  <c r="BD352" i="2" s="1"/>
  <c r="BC353" i="2"/>
  <c r="BB353" i="2"/>
  <c r="BA353" i="2"/>
  <c r="AZ353" i="2"/>
  <c r="AY353" i="2"/>
  <c r="AY352" i="2" s="1"/>
  <c r="AX353" i="2"/>
  <c r="AX352" i="2" s="1"/>
  <c r="AW353" i="2"/>
  <c r="AV353" i="2"/>
  <c r="AU353" i="2"/>
  <c r="AT353" i="2"/>
  <c r="AS353" i="2"/>
  <c r="AS352" i="2" s="1"/>
  <c r="AR353" i="2"/>
  <c r="AR352" i="2" s="1"/>
  <c r="AQ353" i="2"/>
  <c r="AQ352" i="2" s="1"/>
  <c r="AQ339" i="2" s="1"/>
  <c r="AQ338" i="2" s="1"/>
  <c r="AP353" i="2"/>
  <c r="AO353" i="2"/>
  <c r="AN353" i="2"/>
  <c r="AM353" i="2"/>
  <c r="AM352" i="2" s="1"/>
  <c r="AL353" i="2"/>
  <c r="AL352" i="2" s="1"/>
  <c r="AK353" i="2"/>
  <c r="AJ353" i="2"/>
  <c r="AI353" i="2"/>
  <c r="AH353" i="2"/>
  <c r="AG353" i="2"/>
  <c r="AG352" i="2" s="1"/>
  <c r="AF353" i="2"/>
  <c r="AF352" i="2" s="1"/>
  <c r="AE353" i="2"/>
  <c r="AD353" i="2"/>
  <c r="AC353" i="2"/>
  <c r="AB353" i="2"/>
  <c r="AA353" i="2"/>
  <c r="AA352" i="2" s="1"/>
  <c r="Z353" i="2"/>
  <c r="S353" i="2"/>
  <c r="S352" i="2" s="1"/>
  <c r="R353" i="2"/>
  <c r="R352" i="2" s="1"/>
  <c r="N353" i="2"/>
  <c r="N352" i="2" s="1"/>
  <c r="M353" i="2"/>
  <c r="M352" i="2" s="1"/>
  <c r="L353" i="2"/>
  <c r="K353" i="2"/>
  <c r="H353" i="2"/>
  <c r="H352" i="2" s="1"/>
  <c r="G353" i="2"/>
  <c r="G352" i="2" s="1"/>
  <c r="F353" i="2"/>
  <c r="F352" i="2" s="1"/>
  <c r="F339" i="2" s="1"/>
  <c r="F338" i="2" s="1"/>
  <c r="E353" i="2"/>
  <c r="BO352" i="2"/>
  <c r="BM352" i="2"/>
  <c r="BL352" i="2"/>
  <c r="BG352" i="2"/>
  <c r="BF352" i="2"/>
  <c r="BA352" i="2"/>
  <c r="AZ352" i="2"/>
  <c r="AW352" i="2"/>
  <c r="AU352" i="2"/>
  <c r="AT352" i="2"/>
  <c r="AO352" i="2"/>
  <c r="AN352" i="2"/>
  <c r="AI352" i="2"/>
  <c r="AH352" i="2"/>
  <c r="AE352" i="2"/>
  <c r="AB352" i="2"/>
  <c r="Q352" i="2"/>
  <c r="Z352" i="2" s="1"/>
  <c r="K352" i="2"/>
  <c r="BR351" i="2"/>
  <c r="BR350" i="2" s="1"/>
  <c r="BO351" i="2"/>
  <c r="Z351" i="2"/>
  <c r="Y351" i="2"/>
  <c r="T351" i="2"/>
  <c r="T350" i="2" s="1"/>
  <c r="S351" i="2"/>
  <c r="V351" i="2" s="1"/>
  <c r="V350" i="2" s="1"/>
  <c r="R351" i="2"/>
  <c r="Q351" i="2"/>
  <c r="W351" i="2" s="1"/>
  <c r="W350" i="2" s="1"/>
  <c r="P351" i="2"/>
  <c r="P350" i="2" s="1"/>
  <c r="O351" i="2"/>
  <c r="K351" i="2"/>
  <c r="K350" i="2" s="1"/>
  <c r="J351" i="2"/>
  <c r="I351" i="2"/>
  <c r="G351" i="2"/>
  <c r="BO350" i="2"/>
  <c r="BM350" i="2"/>
  <c r="BL350" i="2"/>
  <c r="BK350" i="2"/>
  <c r="BJ350" i="2"/>
  <c r="BI350" i="2"/>
  <c r="BH350" i="2"/>
  <c r="BG350" i="2"/>
  <c r="BF350" i="2"/>
  <c r="BE350" i="2"/>
  <c r="BD350" i="2"/>
  <c r="BD339" i="2" s="1"/>
  <c r="BC350" i="2"/>
  <c r="BB350" i="2"/>
  <c r="BA350" i="2"/>
  <c r="AZ350" i="2"/>
  <c r="AY350" i="2"/>
  <c r="AX350" i="2"/>
  <c r="AW350" i="2"/>
  <c r="AV350" i="2"/>
  <c r="AU350" i="2"/>
  <c r="AT350" i="2"/>
  <c r="AS350" i="2"/>
  <c r="AR350" i="2"/>
  <c r="AQ350" i="2"/>
  <c r="AP350" i="2"/>
  <c r="AO350" i="2"/>
  <c r="AN350" i="2"/>
  <c r="AM350" i="2"/>
  <c r="AL350" i="2"/>
  <c r="AL339" i="2" s="1"/>
  <c r="AK350" i="2"/>
  <c r="AJ350" i="2"/>
  <c r="AI350" i="2"/>
  <c r="AH350" i="2"/>
  <c r="AG350" i="2"/>
  <c r="AF350" i="2"/>
  <c r="AE350" i="2"/>
  <c r="AD350" i="2"/>
  <c r="AC350" i="2"/>
  <c r="AB350" i="2"/>
  <c r="AA350" i="2"/>
  <c r="Z350" i="2"/>
  <c r="Y350" i="2"/>
  <c r="S350" i="2"/>
  <c r="R350" i="2"/>
  <c r="Q350" i="2"/>
  <c r="N350" i="2"/>
  <c r="M350" i="2"/>
  <c r="L350" i="2"/>
  <c r="H350" i="2"/>
  <c r="G350" i="2"/>
  <c r="F350" i="2"/>
  <c r="E350" i="2"/>
  <c r="BO349" i="2"/>
  <c r="BN349" i="2"/>
  <c r="Z349" i="2"/>
  <c r="V349" i="2"/>
  <c r="BT349" i="2" s="1"/>
  <c r="T349" i="2"/>
  <c r="T347" i="2" s="1"/>
  <c r="S349" i="2"/>
  <c r="R349" i="2"/>
  <c r="Q349" i="2"/>
  <c r="W349" i="2" s="1"/>
  <c r="BR349" i="2" s="1"/>
  <c r="P349" i="2"/>
  <c r="Y349" i="2" s="1"/>
  <c r="O349" i="2"/>
  <c r="X349" i="2" s="1"/>
  <c r="J349" i="2"/>
  <c r="I349" i="2"/>
  <c r="G349" i="2"/>
  <c r="BO348" i="2"/>
  <c r="BO347" i="2" s="1"/>
  <c r="BN348" i="2"/>
  <c r="BN347" i="2" s="1"/>
  <c r="BB348" i="2"/>
  <c r="X348" i="2"/>
  <c r="V348" i="2"/>
  <c r="BT348" i="2" s="1"/>
  <c r="T348" i="2"/>
  <c r="S348" i="2"/>
  <c r="S347" i="2" s="1"/>
  <c r="R348" i="2"/>
  <c r="R347" i="2" s="1"/>
  <c r="Q348" i="2"/>
  <c r="Z348" i="2" s="1"/>
  <c r="P348" i="2"/>
  <c r="Y348" i="2" s="1"/>
  <c r="O348" i="2"/>
  <c r="U348" i="2" s="1"/>
  <c r="BQ348" i="2" s="1"/>
  <c r="K348" i="2"/>
  <c r="I348" i="2"/>
  <c r="G348" i="2"/>
  <c r="BM347" i="2"/>
  <c r="BM339" i="2" s="1"/>
  <c r="BL347" i="2"/>
  <c r="BK347" i="2"/>
  <c r="BJ347" i="2"/>
  <c r="BI347" i="2"/>
  <c r="BH347" i="2"/>
  <c r="BG347" i="2"/>
  <c r="BG339" i="2" s="1"/>
  <c r="BF347" i="2"/>
  <c r="BE347" i="2"/>
  <c r="BD347" i="2"/>
  <c r="BC347" i="2"/>
  <c r="BB347" i="2"/>
  <c r="BA347" i="2"/>
  <c r="AZ347" i="2"/>
  <c r="AY347" i="2"/>
  <c r="AX347" i="2"/>
  <c r="AW347" i="2"/>
  <c r="AV347" i="2"/>
  <c r="AU347" i="2"/>
  <c r="AU339" i="2" s="1"/>
  <c r="AU338" i="2" s="1"/>
  <c r="AT347" i="2"/>
  <c r="AS347" i="2"/>
  <c r="AR347" i="2"/>
  <c r="AQ347" i="2"/>
  <c r="AP347" i="2"/>
  <c r="AO347" i="2"/>
  <c r="AO339" i="2" s="1"/>
  <c r="AN347" i="2"/>
  <c r="AM347" i="2"/>
  <c r="AL347" i="2"/>
  <c r="AK347" i="2"/>
  <c r="AJ347" i="2"/>
  <c r="AI347" i="2"/>
  <c r="AH347" i="2"/>
  <c r="AG347" i="2"/>
  <c r="AF347" i="2"/>
  <c r="AE347" i="2"/>
  <c r="AD347" i="2"/>
  <c r="AC347" i="2"/>
  <c r="AC339" i="2" s="1"/>
  <c r="AC338" i="2" s="1"/>
  <c r="AB347" i="2"/>
  <c r="AA347" i="2"/>
  <c r="V347" i="2"/>
  <c r="Q347" i="2"/>
  <c r="Z347" i="2" s="1"/>
  <c r="P347" i="2"/>
  <c r="Y347" i="2" s="1"/>
  <c r="O347" i="2"/>
  <c r="N347" i="2"/>
  <c r="M347" i="2"/>
  <c r="L347" i="2"/>
  <c r="K347" i="2"/>
  <c r="H347" i="2"/>
  <c r="F347" i="2"/>
  <c r="E347" i="2"/>
  <c r="Y346" i="2"/>
  <c r="X346" i="2"/>
  <c r="T346" i="2"/>
  <c r="T345" i="2" s="1"/>
  <c r="S346" i="2"/>
  <c r="R346" i="2"/>
  <c r="Q346" i="2"/>
  <c r="P346" i="2"/>
  <c r="O346" i="2"/>
  <c r="BN346" i="2" s="1"/>
  <c r="BN345" i="2" s="1"/>
  <c r="I346" i="2"/>
  <c r="G346" i="2"/>
  <c r="BM345" i="2"/>
  <c r="BL345" i="2"/>
  <c r="BL339" i="2" s="1"/>
  <c r="BL338" i="2" s="1"/>
  <c r="BK345" i="2"/>
  <c r="BJ345" i="2"/>
  <c r="BI345" i="2"/>
  <c r="BH345" i="2"/>
  <c r="BG345" i="2"/>
  <c r="BF345" i="2"/>
  <c r="BF339" i="2" s="1"/>
  <c r="BE345" i="2"/>
  <c r="BD345" i="2"/>
  <c r="BC345" i="2"/>
  <c r="BB345" i="2"/>
  <c r="BA345" i="2"/>
  <c r="AZ345" i="2"/>
  <c r="AZ339" i="2" s="1"/>
  <c r="AY345" i="2"/>
  <c r="AX345" i="2"/>
  <c r="AW345" i="2"/>
  <c r="AV345" i="2"/>
  <c r="AU345" i="2"/>
  <c r="AT345" i="2"/>
  <c r="AT339" i="2" s="1"/>
  <c r="AS345" i="2"/>
  <c r="AR345" i="2"/>
  <c r="AQ345" i="2"/>
  <c r="AP345" i="2"/>
  <c r="AO345" i="2"/>
  <c r="AN345" i="2"/>
  <c r="AN339" i="2" s="1"/>
  <c r="AN338" i="2" s="1"/>
  <c r="AN280" i="2" s="1"/>
  <c r="AM345" i="2"/>
  <c r="AL345" i="2"/>
  <c r="AK345" i="2"/>
  <c r="AJ345" i="2"/>
  <c r="AI345" i="2"/>
  <c r="AH345" i="2"/>
  <c r="AH339" i="2" s="1"/>
  <c r="AG345" i="2"/>
  <c r="AF345" i="2"/>
  <c r="AE345" i="2"/>
  <c r="AD345" i="2"/>
  <c r="AC345" i="2"/>
  <c r="AB345" i="2"/>
  <c r="AB339" i="2" s="1"/>
  <c r="AA345" i="2"/>
  <c r="X345" i="2"/>
  <c r="R345" i="2"/>
  <c r="Q345" i="2"/>
  <c r="Z345" i="2" s="1"/>
  <c r="P345" i="2"/>
  <c r="Y345" i="2" s="1"/>
  <c r="O345" i="2"/>
  <c r="N345" i="2"/>
  <c r="M345" i="2"/>
  <c r="L345" i="2"/>
  <c r="K345" i="2"/>
  <c r="K339" i="2" s="1"/>
  <c r="H345" i="2"/>
  <c r="F345" i="2"/>
  <c r="E345" i="2"/>
  <c r="BP344" i="2"/>
  <c r="BU344" i="2" s="1"/>
  <c r="Z344" i="2"/>
  <c r="Y344" i="2"/>
  <c r="X344" i="2"/>
  <c r="T344" i="2"/>
  <c r="S344" i="2"/>
  <c r="V344" i="2" s="1"/>
  <c r="BT344" i="2" s="1"/>
  <c r="R344" i="2"/>
  <c r="Q344" i="2"/>
  <c r="BO344" i="2" s="1"/>
  <c r="P344" i="2"/>
  <c r="O344" i="2"/>
  <c r="BN344" i="2" s="1"/>
  <c r="G344" i="2"/>
  <c r="J344" i="2" s="1"/>
  <c r="BN343" i="2"/>
  <c r="Z343" i="2"/>
  <c r="Y343" i="2"/>
  <c r="X343" i="2"/>
  <c r="T343" i="2"/>
  <c r="S343" i="2"/>
  <c r="V343" i="2" s="1"/>
  <c r="BT343" i="2" s="1"/>
  <c r="R343" i="2"/>
  <c r="R340" i="2" s="1"/>
  <c r="R339" i="2" s="1"/>
  <c r="Q343" i="2"/>
  <c r="W343" i="2" s="1"/>
  <c r="BR343" i="2" s="1"/>
  <c r="P343" i="2"/>
  <c r="O343" i="2"/>
  <c r="U343" i="2" s="1"/>
  <c r="BQ343" i="2" s="1"/>
  <c r="BS343" i="2" s="1"/>
  <c r="BV343" i="2" s="1"/>
  <c r="J343" i="2"/>
  <c r="I343" i="2"/>
  <c r="G343" i="2"/>
  <c r="BR342" i="2"/>
  <c r="BO342" i="2"/>
  <c r="Z342" i="2"/>
  <c r="Y342" i="2"/>
  <c r="T342" i="2"/>
  <c r="T340" i="2" s="1"/>
  <c r="S342" i="2"/>
  <c r="S340" i="2" s="1"/>
  <c r="R342" i="2"/>
  <c r="Q342" i="2"/>
  <c r="W342" i="2" s="1"/>
  <c r="P342" i="2"/>
  <c r="O342" i="2"/>
  <c r="X342" i="2" s="1"/>
  <c r="J342" i="2"/>
  <c r="I342" i="2"/>
  <c r="G342" i="2"/>
  <c r="V341" i="2"/>
  <c r="T341" i="2"/>
  <c r="S341" i="2"/>
  <c r="R341" i="2"/>
  <c r="Q341" i="2"/>
  <c r="Q340" i="2" s="1"/>
  <c r="Z340" i="2" s="1"/>
  <c r="P341" i="2"/>
  <c r="O341" i="2"/>
  <c r="X341" i="2" s="1"/>
  <c r="I341" i="2"/>
  <c r="G341" i="2"/>
  <c r="BM340" i="2"/>
  <c r="BL340" i="2"/>
  <c r="BK340" i="2"/>
  <c r="BJ340" i="2"/>
  <c r="BI340" i="2"/>
  <c r="BH340" i="2"/>
  <c r="BH339" i="2" s="1"/>
  <c r="BH338" i="2" s="1"/>
  <c r="BH280" i="2" s="1"/>
  <c r="BG340" i="2"/>
  <c r="BF340" i="2"/>
  <c r="BE340" i="2"/>
  <c r="BD340" i="2"/>
  <c r="BC340" i="2"/>
  <c r="BC339" i="2" s="1"/>
  <c r="BC338" i="2" s="1"/>
  <c r="BB340" i="2"/>
  <c r="BB339" i="2" s="1"/>
  <c r="BB338" i="2" s="1"/>
  <c r="BA340" i="2"/>
  <c r="AZ340" i="2"/>
  <c r="AY340" i="2"/>
  <c r="AX340" i="2"/>
  <c r="AW340" i="2"/>
  <c r="AW339" i="2" s="1"/>
  <c r="AW338" i="2" s="1"/>
  <c r="AV340" i="2"/>
  <c r="AV339" i="2" s="1"/>
  <c r="AV338" i="2" s="1"/>
  <c r="AU340" i="2"/>
  <c r="AT340" i="2"/>
  <c r="AS340" i="2"/>
  <c r="AR340" i="2"/>
  <c r="AQ340" i="2"/>
  <c r="AP340" i="2"/>
  <c r="AP339" i="2" s="1"/>
  <c r="AP338" i="2" s="1"/>
  <c r="AO340" i="2"/>
  <c r="AN340" i="2"/>
  <c r="AM340" i="2"/>
  <c r="AL340" i="2"/>
  <c r="AK340" i="2"/>
  <c r="AK339" i="2" s="1"/>
  <c r="AJ340" i="2"/>
  <c r="AJ339" i="2" s="1"/>
  <c r="AI340" i="2"/>
  <c r="AH340" i="2"/>
  <c r="AG340" i="2"/>
  <c r="AF340" i="2"/>
  <c r="AE340" i="2"/>
  <c r="AE339" i="2" s="1"/>
  <c r="AE338" i="2" s="1"/>
  <c r="AD340" i="2"/>
  <c r="AD339" i="2" s="1"/>
  <c r="AD338" i="2" s="1"/>
  <c r="AD280" i="2" s="1"/>
  <c r="AC340" i="2"/>
  <c r="AB340" i="2"/>
  <c r="AA340" i="2"/>
  <c r="X340" i="2"/>
  <c r="O340" i="2"/>
  <c r="N340" i="2"/>
  <c r="N339" i="2" s="1"/>
  <c r="M340" i="2"/>
  <c r="M339" i="2" s="1"/>
  <c r="L340" i="2"/>
  <c r="K340" i="2"/>
  <c r="H340" i="2"/>
  <c r="G340" i="2"/>
  <c r="J340" i="2" s="1"/>
  <c r="F340" i="2"/>
  <c r="E340" i="2"/>
  <c r="BJ339" i="2"/>
  <c r="BA339" i="2"/>
  <c r="BA338" i="2" s="1"/>
  <c r="AX339" i="2"/>
  <c r="AR339" i="2"/>
  <c r="AR338" i="2" s="1"/>
  <c r="AI339" i="2"/>
  <c r="AF339" i="2"/>
  <c r="AF338" i="2" s="1"/>
  <c r="Q339" i="2"/>
  <c r="Z339" i="2" s="1"/>
  <c r="H339" i="2"/>
  <c r="H338" i="2" s="1"/>
  <c r="X337" i="2"/>
  <c r="V337" i="2"/>
  <c r="BT337" i="2" s="1"/>
  <c r="BT336" i="2" s="1"/>
  <c r="T337" i="2"/>
  <c r="S337" i="2"/>
  <c r="R337" i="2"/>
  <c r="Q337" i="2"/>
  <c r="W337" i="2" s="1"/>
  <c r="W336" i="2" s="1"/>
  <c r="P337" i="2"/>
  <c r="Y337" i="2" s="1"/>
  <c r="O337" i="2"/>
  <c r="BN337" i="2" s="1"/>
  <c r="I337" i="2"/>
  <c r="G337" i="2"/>
  <c r="BM336" i="2"/>
  <c r="BL336" i="2"/>
  <c r="BK336" i="2"/>
  <c r="BJ336" i="2"/>
  <c r="BI336" i="2"/>
  <c r="BH336" i="2"/>
  <c r="BG336" i="2"/>
  <c r="BF336" i="2"/>
  <c r="BE336" i="2"/>
  <c r="BD336" i="2"/>
  <c r="BC336" i="2"/>
  <c r="BB336" i="2"/>
  <c r="BA336" i="2"/>
  <c r="AZ336" i="2"/>
  <c r="AY336" i="2"/>
  <c r="AX336" i="2"/>
  <c r="AW336" i="2"/>
  <c r="AV336" i="2"/>
  <c r="AU336" i="2"/>
  <c r="AT336" i="2"/>
  <c r="AS336" i="2"/>
  <c r="AR336" i="2"/>
  <c r="AQ336" i="2"/>
  <c r="AP336" i="2"/>
  <c r="AO336" i="2"/>
  <c r="AN336" i="2"/>
  <c r="AM336" i="2"/>
  <c r="AL336" i="2"/>
  <c r="AK336" i="2"/>
  <c r="AJ336" i="2"/>
  <c r="AI336" i="2"/>
  <c r="AH336" i="2"/>
  <c r="AG336" i="2"/>
  <c r="AF336" i="2"/>
  <c r="AE336" i="2"/>
  <c r="AD336" i="2"/>
  <c r="AC336" i="2"/>
  <c r="AB336" i="2"/>
  <c r="AA336" i="2"/>
  <c r="T336" i="2"/>
  <c r="S336" i="2"/>
  <c r="R336" i="2"/>
  <c r="O336" i="2"/>
  <c r="X336" i="2" s="1"/>
  <c r="N336" i="2"/>
  <c r="M336" i="2"/>
  <c r="L336" i="2"/>
  <c r="K336" i="2"/>
  <c r="I336" i="2"/>
  <c r="H336" i="2"/>
  <c r="G336" i="2"/>
  <c r="J336" i="2" s="1"/>
  <c r="F336" i="2"/>
  <c r="E336" i="2"/>
  <c r="BO335" i="2"/>
  <c r="BE335" i="2"/>
  <c r="BE334" i="2" s="1"/>
  <c r="BE737" i="2" s="1"/>
  <c r="BB335" i="2"/>
  <c r="AY335" i="2"/>
  <c r="AV335" i="2"/>
  <c r="AV334" i="2" s="1"/>
  <c r="Z335" i="2"/>
  <c r="Y335" i="2"/>
  <c r="T335" i="2"/>
  <c r="T334" i="2" s="1"/>
  <c r="S335" i="2"/>
  <c r="V335" i="2" s="1"/>
  <c r="R335" i="2"/>
  <c r="Q335" i="2"/>
  <c r="W335" i="2" s="1"/>
  <c r="P335" i="2"/>
  <c r="O335" i="2"/>
  <c r="X335" i="2" s="1"/>
  <c r="K335" i="2"/>
  <c r="K334" i="2" s="1"/>
  <c r="K330" i="2" s="1"/>
  <c r="G335" i="2"/>
  <c r="I335" i="2" s="1"/>
  <c r="BO334" i="2"/>
  <c r="BM334" i="2"/>
  <c r="BL334" i="2"/>
  <c r="BK334" i="2"/>
  <c r="BK737" i="2" s="1"/>
  <c r="BJ334" i="2"/>
  <c r="BJ737" i="2" s="1"/>
  <c r="BI334" i="2"/>
  <c r="BI737" i="2" s="1"/>
  <c r="BH334" i="2"/>
  <c r="BH737" i="2" s="1"/>
  <c r="BG334" i="2"/>
  <c r="BF334" i="2"/>
  <c r="BF737" i="2" s="1"/>
  <c r="BD334" i="2"/>
  <c r="BC334" i="2"/>
  <c r="BC737" i="2" s="1"/>
  <c r="BB334" i="2"/>
  <c r="BB737" i="2" s="1"/>
  <c r="BA334" i="2"/>
  <c r="BA737" i="2" s="1"/>
  <c r="AZ334" i="2"/>
  <c r="AZ737" i="2" s="1"/>
  <c r="AY334" i="2"/>
  <c r="AY737" i="2" s="1"/>
  <c r="AX334" i="2"/>
  <c r="AX737" i="2" s="1"/>
  <c r="AW334" i="2"/>
  <c r="AW737" i="2" s="1"/>
  <c r="AU334" i="2"/>
  <c r="AU737" i="2" s="1"/>
  <c r="AT334" i="2"/>
  <c r="AT737" i="2" s="1"/>
  <c r="AS334" i="2"/>
  <c r="AS737" i="2" s="1"/>
  <c r="AR334" i="2"/>
  <c r="AR737" i="2" s="1"/>
  <c r="AQ334" i="2"/>
  <c r="AQ737" i="2" s="1"/>
  <c r="AP334" i="2"/>
  <c r="AP737" i="2" s="1"/>
  <c r="AO334" i="2"/>
  <c r="AN334" i="2"/>
  <c r="AN737" i="2" s="1"/>
  <c r="AM334" i="2"/>
  <c r="AM737" i="2" s="1"/>
  <c r="AL334" i="2"/>
  <c r="AL737" i="2" s="1"/>
  <c r="AK334" i="2"/>
  <c r="AK737" i="2" s="1"/>
  <c r="AJ334" i="2"/>
  <c r="AJ737" i="2" s="1"/>
  <c r="AI334" i="2"/>
  <c r="AH334" i="2"/>
  <c r="AH737" i="2" s="1"/>
  <c r="AG334" i="2"/>
  <c r="AG737" i="2" s="1"/>
  <c r="AF334" i="2"/>
  <c r="AF737" i="2" s="1"/>
  <c r="AE334" i="2"/>
  <c r="AE737" i="2" s="1"/>
  <c r="AD334" i="2"/>
  <c r="AD737" i="2" s="1"/>
  <c r="AC334" i="2"/>
  <c r="AC737" i="2" s="1"/>
  <c r="AB334" i="2"/>
  <c r="AB737" i="2" s="1"/>
  <c r="AA334" i="2"/>
  <c r="AA737" i="2" s="1"/>
  <c r="Z334" i="2"/>
  <c r="Y334" i="2"/>
  <c r="S334" i="2"/>
  <c r="R334" i="2"/>
  <c r="Q334" i="2"/>
  <c r="P334" i="2"/>
  <c r="N334" i="2"/>
  <c r="M334" i="2"/>
  <c r="L334" i="2"/>
  <c r="H334" i="2"/>
  <c r="G334" i="2"/>
  <c r="F334" i="2"/>
  <c r="E334" i="2"/>
  <c r="BT333" i="2"/>
  <c r="BO333" i="2"/>
  <c r="Z333" i="2"/>
  <c r="V333" i="2"/>
  <c r="T333" i="2"/>
  <c r="S333" i="2"/>
  <c r="R333" i="2"/>
  <c r="Q333" i="2"/>
  <c r="W333" i="2" s="1"/>
  <c r="BR333" i="2" s="1"/>
  <c r="P333" i="2"/>
  <c r="Y333" i="2" s="1"/>
  <c r="O333" i="2"/>
  <c r="X333" i="2" s="1"/>
  <c r="G333" i="2"/>
  <c r="I333" i="2" s="1"/>
  <c r="BO332" i="2"/>
  <c r="BO331" i="2" s="1"/>
  <c r="V332" i="2"/>
  <c r="V331" i="2" s="1"/>
  <c r="T332" i="2"/>
  <c r="S332" i="2"/>
  <c r="R332" i="2"/>
  <c r="Q332" i="2"/>
  <c r="Z332" i="2" s="1"/>
  <c r="P332" i="2"/>
  <c r="Y332" i="2" s="1"/>
  <c r="O332" i="2"/>
  <c r="J332" i="2" s="1"/>
  <c r="I332" i="2"/>
  <c r="G332" i="2"/>
  <c r="BM331" i="2"/>
  <c r="BL331" i="2"/>
  <c r="BK331" i="2"/>
  <c r="BK330" i="2" s="1"/>
  <c r="BJ331" i="2"/>
  <c r="BJ330" i="2" s="1"/>
  <c r="BI331" i="2"/>
  <c r="BH331" i="2"/>
  <c r="BG331" i="2"/>
  <c r="BF331" i="2"/>
  <c r="BE331" i="2"/>
  <c r="BE330" i="2" s="1"/>
  <c r="BD331" i="2"/>
  <c r="BD330" i="2" s="1"/>
  <c r="BC331" i="2"/>
  <c r="BB331" i="2"/>
  <c r="BA331" i="2"/>
  <c r="AZ331" i="2"/>
  <c r="AY331" i="2"/>
  <c r="AY330" i="2" s="1"/>
  <c r="AX331" i="2"/>
  <c r="AX330" i="2" s="1"/>
  <c r="AW331" i="2"/>
  <c r="AV331" i="2"/>
  <c r="AU331" i="2"/>
  <c r="AT331" i="2"/>
  <c r="AS331" i="2"/>
  <c r="AS330" i="2" s="1"/>
  <c r="AR331" i="2"/>
  <c r="AR330" i="2" s="1"/>
  <c r="AQ331" i="2"/>
  <c r="AP331" i="2"/>
  <c r="AO331" i="2"/>
  <c r="AN331" i="2"/>
  <c r="AM331" i="2"/>
  <c r="AM330" i="2" s="1"/>
  <c r="AL331" i="2"/>
  <c r="AL330" i="2" s="1"/>
  <c r="AK331" i="2"/>
  <c r="AJ331" i="2"/>
  <c r="AI331" i="2"/>
  <c r="AH331" i="2"/>
  <c r="AG331" i="2"/>
  <c r="AG330" i="2" s="1"/>
  <c r="AF331" i="2"/>
  <c r="AF330" i="2" s="1"/>
  <c r="AE331" i="2"/>
  <c r="AD331" i="2"/>
  <c r="AC331" i="2"/>
  <c r="AB331" i="2"/>
  <c r="AA331" i="2"/>
  <c r="AA330" i="2" s="1"/>
  <c r="T331" i="2"/>
  <c r="T330" i="2" s="1"/>
  <c r="S331" i="2"/>
  <c r="R331" i="2"/>
  <c r="N331" i="2"/>
  <c r="N330" i="2" s="1"/>
  <c r="M331" i="2"/>
  <c r="L331" i="2"/>
  <c r="K331" i="2"/>
  <c r="I331" i="2"/>
  <c r="H331" i="2"/>
  <c r="H330" i="2" s="1"/>
  <c r="G331" i="2"/>
  <c r="F331" i="2"/>
  <c r="E331" i="2"/>
  <c r="BM330" i="2"/>
  <c r="BL330" i="2"/>
  <c r="BI330" i="2"/>
  <c r="BH330" i="2"/>
  <c r="BG330" i="2"/>
  <c r="BF330" i="2"/>
  <c r="BC330" i="2"/>
  <c r="BB330" i="2"/>
  <c r="BA330" i="2"/>
  <c r="AZ330" i="2"/>
  <c r="AW330" i="2"/>
  <c r="AU330" i="2"/>
  <c r="AT330" i="2"/>
  <c r="AQ330" i="2"/>
  <c r="AP330" i="2"/>
  <c r="AO330" i="2"/>
  <c r="AN330" i="2"/>
  <c r="AK330" i="2"/>
  <c r="AJ330" i="2"/>
  <c r="AI330" i="2"/>
  <c r="AH330" i="2"/>
  <c r="AE330" i="2"/>
  <c r="AD330" i="2"/>
  <c r="AC330" i="2"/>
  <c r="AB330" i="2"/>
  <c r="S330" i="2"/>
  <c r="R330" i="2"/>
  <c r="M330" i="2"/>
  <c r="L330" i="2"/>
  <c r="G330" i="2"/>
  <c r="F9" i="3" s="1"/>
  <c r="F330" i="2"/>
  <c r="E330" i="2"/>
  <c r="BT329" i="2"/>
  <c r="BT327" i="2" s="1"/>
  <c r="BS329" i="2"/>
  <c r="BV329" i="2" s="1"/>
  <c r="BR329" i="2"/>
  <c r="BQ329" i="2"/>
  <c r="BO329" i="2"/>
  <c r="BO327" i="2" s="1"/>
  <c r="BN329" i="2"/>
  <c r="BN327" i="2" s="1"/>
  <c r="BT328" i="2"/>
  <c r="BR328" i="2"/>
  <c r="BR327" i="2" s="1"/>
  <c r="BQ328" i="2"/>
  <c r="BO328" i="2"/>
  <c r="BP328" i="2" s="1"/>
  <c r="BN328" i="2"/>
  <c r="BQ327" i="2"/>
  <c r="BM327" i="2"/>
  <c r="BL327" i="2"/>
  <c r="BK327" i="2"/>
  <c r="BJ327" i="2"/>
  <c r="BI327" i="2"/>
  <c r="BH327" i="2"/>
  <c r="BG327" i="2"/>
  <c r="BF327" i="2"/>
  <c r="BE327" i="2"/>
  <c r="BD327" i="2"/>
  <c r="BC327" i="2"/>
  <c r="BB327" i="2"/>
  <c r="BA327" i="2"/>
  <c r="AZ327" i="2"/>
  <c r="AY327" i="2"/>
  <c r="AX327" i="2"/>
  <c r="AW327" i="2"/>
  <c r="AV327" i="2"/>
  <c r="AU327" i="2"/>
  <c r="AT327" i="2"/>
  <c r="AS327" i="2"/>
  <c r="AR327" i="2"/>
  <c r="AQ327" i="2"/>
  <c r="AP327" i="2"/>
  <c r="AO327" i="2"/>
  <c r="AN327" i="2"/>
  <c r="AM327" i="2"/>
  <c r="AL327" i="2"/>
  <c r="AK327" i="2"/>
  <c r="AJ327" i="2"/>
  <c r="AI327" i="2"/>
  <c r="AH327" i="2"/>
  <c r="AG327" i="2"/>
  <c r="AF327" i="2"/>
  <c r="AE327" i="2"/>
  <c r="AD327" i="2"/>
  <c r="AC327" i="2"/>
  <c r="AB327" i="2"/>
  <c r="AA327" i="2"/>
  <c r="Z327" i="2"/>
  <c r="Y327" i="2"/>
  <c r="W327" i="2"/>
  <c r="V327" i="2"/>
  <c r="U327" i="2"/>
  <c r="T327" i="2"/>
  <c r="S327" i="2"/>
  <c r="R327" i="2"/>
  <c r="Q327" i="2"/>
  <c r="P327" i="2"/>
  <c r="O327" i="2"/>
  <c r="X327" i="2" s="1"/>
  <c r="N327" i="2"/>
  <c r="M327" i="2"/>
  <c r="L327" i="2"/>
  <c r="K327" i="2"/>
  <c r="I327" i="2"/>
  <c r="H327" i="2"/>
  <c r="G327" i="2"/>
  <c r="J327" i="2" s="1"/>
  <c r="F327" i="2"/>
  <c r="E327" i="2"/>
  <c r="BO326" i="2"/>
  <c r="BO325" i="2" s="1"/>
  <c r="V326" i="2"/>
  <c r="V325" i="2" s="1"/>
  <c r="T326" i="2"/>
  <c r="S326" i="2"/>
  <c r="R326" i="2"/>
  <c r="Q326" i="2"/>
  <c r="Z326" i="2" s="1"/>
  <c r="P326" i="2"/>
  <c r="Y326" i="2" s="1"/>
  <c r="O326" i="2"/>
  <c r="X326" i="2" s="1"/>
  <c r="J326" i="2"/>
  <c r="I326" i="2"/>
  <c r="G326" i="2"/>
  <c r="BM325" i="2"/>
  <c r="BL325" i="2"/>
  <c r="BK325" i="2"/>
  <c r="BJ325" i="2"/>
  <c r="BI325" i="2"/>
  <c r="BH325" i="2"/>
  <c r="BG325" i="2"/>
  <c r="BF325" i="2"/>
  <c r="BE325" i="2"/>
  <c r="BD325" i="2"/>
  <c r="BC325" i="2"/>
  <c r="BB325" i="2"/>
  <c r="BA325" i="2"/>
  <c r="AZ325" i="2"/>
  <c r="AY325" i="2"/>
  <c r="AX325" i="2"/>
  <c r="AW325" i="2"/>
  <c r="AV325" i="2"/>
  <c r="AU325" i="2"/>
  <c r="AT325" i="2"/>
  <c r="AS325" i="2"/>
  <c r="AR325" i="2"/>
  <c r="AQ325" i="2"/>
  <c r="AP325" i="2"/>
  <c r="AO325" i="2"/>
  <c r="AN325" i="2"/>
  <c r="AM325" i="2"/>
  <c r="AL325" i="2"/>
  <c r="AK325" i="2"/>
  <c r="AJ325" i="2"/>
  <c r="AI325" i="2"/>
  <c r="AH325" i="2"/>
  <c r="AG325" i="2"/>
  <c r="AF325" i="2"/>
  <c r="AE325" i="2"/>
  <c r="AD325" i="2"/>
  <c r="AC325" i="2"/>
  <c r="AB325" i="2"/>
  <c r="AA325" i="2"/>
  <c r="T325" i="2"/>
  <c r="S325" i="2"/>
  <c r="R325" i="2"/>
  <c r="O325" i="2"/>
  <c r="X325" i="2" s="1"/>
  <c r="N325" i="2"/>
  <c r="M325" i="2"/>
  <c r="L325" i="2"/>
  <c r="K325" i="2"/>
  <c r="I325" i="2"/>
  <c r="H325" i="2"/>
  <c r="G325" i="2"/>
  <c r="J325" i="2" s="1"/>
  <c r="F325" i="2"/>
  <c r="E325" i="2"/>
  <c r="BO324" i="2"/>
  <c r="BO323" i="2" s="1"/>
  <c r="V324" i="2"/>
  <c r="V323" i="2" s="1"/>
  <c r="T324" i="2"/>
  <c r="S324" i="2"/>
  <c r="R324" i="2"/>
  <c r="Q324" i="2"/>
  <c r="Z324" i="2" s="1"/>
  <c r="P324" i="2"/>
  <c r="Y324" i="2" s="1"/>
  <c r="O324" i="2"/>
  <c r="X324" i="2" s="1"/>
  <c r="J324" i="2"/>
  <c r="I324" i="2"/>
  <c r="G324" i="2"/>
  <c r="BM323" i="2"/>
  <c r="BL323" i="2"/>
  <c r="BK323" i="2"/>
  <c r="BJ323" i="2"/>
  <c r="BI323" i="2"/>
  <c r="BH323" i="2"/>
  <c r="BG323" i="2"/>
  <c r="BF323" i="2"/>
  <c r="BE323" i="2"/>
  <c r="BD323" i="2"/>
  <c r="BC323" i="2"/>
  <c r="BB323" i="2"/>
  <c r="BA323" i="2"/>
  <c r="AZ323" i="2"/>
  <c r="AY323" i="2"/>
  <c r="AX323" i="2"/>
  <c r="AW323" i="2"/>
  <c r="AV323" i="2"/>
  <c r="AU323" i="2"/>
  <c r="AT323" i="2"/>
  <c r="AS323" i="2"/>
  <c r="AR323" i="2"/>
  <c r="AQ323" i="2"/>
  <c r="AP323" i="2"/>
  <c r="AO323" i="2"/>
  <c r="AN323" i="2"/>
  <c r="AM323" i="2"/>
  <c r="AL323" i="2"/>
  <c r="AK323" i="2"/>
  <c r="AJ323" i="2"/>
  <c r="AI323" i="2"/>
  <c r="AH323" i="2"/>
  <c r="AG323" i="2"/>
  <c r="AF323" i="2"/>
  <c r="AE323" i="2"/>
  <c r="AD323" i="2"/>
  <c r="AC323" i="2"/>
  <c r="AB323" i="2"/>
  <c r="AA323" i="2"/>
  <c r="T323" i="2"/>
  <c r="S323" i="2"/>
  <c r="R323" i="2"/>
  <c r="O323" i="2"/>
  <c r="X323" i="2" s="1"/>
  <c r="N323" i="2"/>
  <c r="M323" i="2"/>
  <c r="L323" i="2"/>
  <c r="K323" i="2"/>
  <c r="I323" i="2"/>
  <c r="H323" i="2"/>
  <c r="G323" i="2"/>
  <c r="J323" i="2" s="1"/>
  <c r="F323" i="2"/>
  <c r="E323" i="2"/>
  <c r="BO322" i="2"/>
  <c r="BB322" i="2"/>
  <c r="AY322" i="2"/>
  <c r="AV322" i="2"/>
  <c r="AS322" i="2"/>
  <c r="AP322" i="2"/>
  <c r="AP315" i="2" s="1"/>
  <c r="AP281" i="2" s="1"/>
  <c r="AP280" i="2" s="1"/>
  <c r="Z322" i="2"/>
  <c r="V322" i="2"/>
  <c r="BT322" i="2" s="1"/>
  <c r="T322" i="2"/>
  <c r="S322" i="2"/>
  <c r="R322" i="2"/>
  <c r="Q322" i="2"/>
  <c r="W322" i="2" s="1"/>
  <c r="BR322" i="2" s="1"/>
  <c r="P322" i="2"/>
  <c r="Y322" i="2" s="1"/>
  <c r="O322" i="2"/>
  <c r="J322" i="2" s="1"/>
  <c r="K322" i="2"/>
  <c r="I322" i="2" s="1"/>
  <c r="G322" i="2"/>
  <c r="X321" i="2"/>
  <c r="V321" i="2"/>
  <c r="BT321" i="2" s="1"/>
  <c r="T321" i="2"/>
  <c r="S321" i="2"/>
  <c r="R321" i="2"/>
  <c r="Q321" i="2"/>
  <c r="Z321" i="2" s="1"/>
  <c r="P321" i="2"/>
  <c r="Y321" i="2" s="1"/>
  <c r="O321" i="2"/>
  <c r="BN321" i="2" s="1"/>
  <c r="G321" i="2"/>
  <c r="J321" i="2" s="1"/>
  <c r="Y320" i="2"/>
  <c r="X320" i="2"/>
  <c r="T320" i="2"/>
  <c r="S320" i="2"/>
  <c r="V320" i="2" s="1"/>
  <c r="BT320" i="2" s="1"/>
  <c r="R320" i="2"/>
  <c r="Q320" i="2"/>
  <c r="BO320" i="2" s="1"/>
  <c r="P320" i="2"/>
  <c r="O320" i="2"/>
  <c r="BN320" i="2" s="1"/>
  <c r="BP320" i="2" s="1"/>
  <c r="G320" i="2"/>
  <c r="J320" i="2" s="1"/>
  <c r="Z319" i="2"/>
  <c r="Y319" i="2"/>
  <c r="X319" i="2"/>
  <c r="T319" i="2"/>
  <c r="S319" i="2"/>
  <c r="V319" i="2" s="1"/>
  <c r="BT319" i="2" s="1"/>
  <c r="R319" i="2"/>
  <c r="Q319" i="2"/>
  <c r="W319" i="2" s="1"/>
  <c r="BR319" i="2" s="1"/>
  <c r="P319" i="2"/>
  <c r="O319" i="2"/>
  <c r="BN319" i="2" s="1"/>
  <c r="J319" i="2"/>
  <c r="I319" i="2"/>
  <c r="G319" i="2"/>
  <c r="Z318" i="2"/>
  <c r="Y318" i="2"/>
  <c r="T318" i="2"/>
  <c r="T315" i="2" s="1"/>
  <c r="S318" i="2"/>
  <c r="S315" i="2" s="1"/>
  <c r="R318" i="2"/>
  <c r="Q318" i="2"/>
  <c r="W318" i="2" s="1"/>
  <c r="BR318" i="2" s="1"/>
  <c r="P318" i="2"/>
  <c r="O318" i="2"/>
  <c r="X318" i="2" s="1"/>
  <c r="J318" i="2"/>
  <c r="I318" i="2"/>
  <c r="G318" i="2"/>
  <c r="BT317" i="2"/>
  <c r="BO317" i="2"/>
  <c r="Z317" i="2"/>
  <c r="V317" i="2"/>
  <c r="T317" i="2"/>
  <c r="S317" i="2"/>
  <c r="R317" i="2"/>
  <c r="Q317" i="2"/>
  <c r="W317" i="2" s="1"/>
  <c r="BR317" i="2" s="1"/>
  <c r="P317" i="2"/>
  <c r="Y317" i="2" s="1"/>
  <c r="O317" i="2"/>
  <c r="X317" i="2" s="1"/>
  <c r="J317" i="2"/>
  <c r="G317" i="2"/>
  <c r="I317" i="2" s="1"/>
  <c r="BN316" i="2"/>
  <c r="BI316" i="2"/>
  <c r="X316" i="2"/>
  <c r="V316" i="2"/>
  <c r="BT316" i="2" s="1"/>
  <c r="T316" i="2"/>
  <c r="S316" i="2"/>
  <c r="R316" i="2"/>
  <c r="R315" i="2" s="1"/>
  <c r="Q316" i="2"/>
  <c r="Z316" i="2" s="1"/>
  <c r="P316" i="2"/>
  <c r="Y316" i="2" s="1"/>
  <c r="O316" i="2"/>
  <c r="U316" i="2" s="1"/>
  <c r="G316" i="2"/>
  <c r="G315" i="2" s="1"/>
  <c r="BM315" i="2"/>
  <c r="BL315" i="2"/>
  <c r="BK315" i="2"/>
  <c r="BJ315" i="2"/>
  <c r="BI315" i="2"/>
  <c r="BH315" i="2"/>
  <c r="BG315" i="2"/>
  <c r="BF315" i="2"/>
  <c r="BE315" i="2"/>
  <c r="BD315" i="2"/>
  <c r="BC315" i="2"/>
  <c r="BB315" i="2"/>
  <c r="BA315" i="2"/>
  <c r="AZ315" i="2"/>
  <c r="AY315" i="2"/>
  <c r="AX315" i="2"/>
  <c r="AW315" i="2"/>
  <c r="AV315" i="2"/>
  <c r="AU315" i="2"/>
  <c r="AT315" i="2"/>
  <c r="AS315" i="2"/>
  <c r="AR315" i="2"/>
  <c r="AQ315" i="2"/>
  <c r="AO315" i="2"/>
  <c r="AN315" i="2"/>
  <c r="AM315" i="2"/>
  <c r="AL315" i="2"/>
  <c r="AK315" i="2"/>
  <c r="AJ315" i="2"/>
  <c r="AI315" i="2"/>
  <c r="AH315" i="2"/>
  <c r="AG315" i="2"/>
  <c r="AF315" i="2"/>
  <c r="AE315" i="2"/>
  <c r="AD315" i="2"/>
  <c r="AC315" i="2"/>
  <c r="AB315" i="2"/>
  <c r="AA315" i="2"/>
  <c r="P315" i="2"/>
  <c r="Y315" i="2" s="1"/>
  <c r="O315" i="2"/>
  <c r="N315" i="2"/>
  <c r="M315" i="2"/>
  <c r="L315" i="2"/>
  <c r="H315" i="2"/>
  <c r="F315" i="2"/>
  <c r="E315" i="2"/>
  <c r="X314" i="2"/>
  <c r="V314" i="2"/>
  <c r="BT314" i="2" s="1"/>
  <c r="T314" i="2"/>
  <c r="S314" i="2"/>
  <c r="R314" i="2"/>
  <c r="Q314" i="2"/>
  <c r="Z314" i="2" s="1"/>
  <c r="P314" i="2"/>
  <c r="Y314" i="2" s="1"/>
  <c r="O314" i="2"/>
  <c r="BN314" i="2" s="1"/>
  <c r="L314" i="2"/>
  <c r="G314" i="2"/>
  <c r="J314" i="2" s="1"/>
  <c r="Z313" i="2"/>
  <c r="Y313" i="2"/>
  <c r="X313" i="2"/>
  <c r="T313" i="2"/>
  <c r="T312" i="2" s="1"/>
  <c r="S313" i="2"/>
  <c r="V313" i="2" s="1"/>
  <c r="R313" i="2"/>
  <c r="Q313" i="2"/>
  <c r="W313" i="2" s="1"/>
  <c r="P313" i="2"/>
  <c r="O313" i="2"/>
  <c r="BN313" i="2" s="1"/>
  <c r="J313" i="2"/>
  <c r="I313" i="2"/>
  <c r="G313" i="2"/>
  <c r="G312" i="2" s="1"/>
  <c r="BM312" i="2"/>
  <c r="BL312" i="2"/>
  <c r="BK312" i="2"/>
  <c r="BJ312" i="2"/>
  <c r="BI312" i="2"/>
  <c r="BH312" i="2"/>
  <c r="BG312" i="2"/>
  <c r="BF312" i="2"/>
  <c r="BE312" i="2"/>
  <c r="BD312" i="2"/>
  <c r="BC312" i="2"/>
  <c r="BB312" i="2"/>
  <c r="BA312" i="2"/>
  <c r="AZ312" i="2"/>
  <c r="AY312" i="2"/>
  <c r="AX312" i="2"/>
  <c r="AW312" i="2"/>
  <c r="AV312" i="2"/>
  <c r="AU312" i="2"/>
  <c r="AT312" i="2"/>
  <c r="AS312" i="2"/>
  <c r="AR312" i="2"/>
  <c r="AQ312" i="2"/>
  <c r="AP312" i="2"/>
  <c r="AO312" i="2"/>
  <c r="AN312" i="2"/>
  <c r="AM312" i="2"/>
  <c r="AL312" i="2"/>
  <c r="AK312" i="2"/>
  <c r="AJ312" i="2"/>
  <c r="AI312" i="2"/>
  <c r="AH312" i="2"/>
  <c r="AG312" i="2"/>
  <c r="AF312" i="2"/>
  <c r="AE312" i="2"/>
  <c r="AD312" i="2"/>
  <c r="AC312" i="2"/>
  <c r="AB312" i="2"/>
  <c r="AA312" i="2"/>
  <c r="X312" i="2"/>
  <c r="R312" i="2"/>
  <c r="Q312" i="2"/>
  <c r="Z312" i="2" s="1"/>
  <c r="P312" i="2"/>
  <c r="Y312" i="2" s="1"/>
  <c r="O312" i="2"/>
  <c r="N312" i="2"/>
  <c r="M312" i="2"/>
  <c r="L312" i="2"/>
  <c r="K312" i="2"/>
  <c r="H312" i="2"/>
  <c r="F312" i="2"/>
  <c r="E312" i="2"/>
  <c r="Z311" i="2"/>
  <c r="Y311" i="2"/>
  <c r="X311" i="2"/>
  <c r="T311" i="2"/>
  <c r="T310" i="2" s="1"/>
  <c r="S311" i="2"/>
  <c r="V311" i="2" s="1"/>
  <c r="R311" i="2"/>
  <c r="Q311" i="2"/>
  <c r="W311" i="2" s="1"/>
  <c r="P311" i="2"/>
  <c r="O311" i="2"/>
  <c r="BN311" i="2" s="1"/>
  <c r="J311" i="2"/>
  <c r="I311" i="2"/>
  <c r="G311" i="2"/>
  <c r="G310" i="2" s="1"/>
  <c r="BM310" i="2"/>
  <c r="BM281" i="2" s="1"/>
  <c r="BL310" i="2"/>
  <c r="BK310" i="2"/>
  <c r="BJ310" i="2"/>
  <c r="BI310" i="2"/>
  <c r="BH310" i="2"/>
  <c r="BG310" i="2"/>
  <c r="BG281" i="2" s="1"/>
  <c r="BF310" i="2"/>
  <c r="BE310" i="2"/>
  <c r="BD310" i="2"/>
  <c r="BC310" i="2"/>
  <c r="BB310" i="2"/>
  <c r="BA310" i="2"/>
  <c r="BA281" i="2" s="1"/>
  <c r="AZ310" i="2"/>
  <c r="AY310" i="2"/>
  <c r="AX310" i="2"/>
  <c r="AW310" i="2"/>
  <c r="AV310" i="2"/>
  <c r="AU310" i="2"/>
  <c r="AU281" i="2" s="1"/>
  <c r="AU280" i="2" s="1"/>
  <c r="AT310" i="2"/>
  <c r="AS310" i="2"/>
  <c r="AR310" i="2"/>
  <c r="AQ310" i="2"/>
  <c r="AP310" i="2"/>
  <c r="AO310" i="2"/>
  <c r="AO281" i="2" s="1"/>
  <c r="AN310" i="2"/>
  <c r="AM310" i="2"/>
  <c r="AL310" i="2"/>
  <c r="AK310" i="2"/>
  <c r="AJ310" i="2"/>
  <c r="AI310" i="2"/>
  <c r="AI281" i="2" s="1"/>
  <c r="AH310" i="2"/>
  <c r="AG310" i="2"/>
  <c r="AF310" i="2"/>
  <c r="AE310" i="2"/>
  <c r="AD310" i="2"/>
  <c r="AC310" i="2"/>
  <c r="AC281" i="2" s="1"/>
  <c r="AC280" i="2" s="1"/>
  <c r="AB310" i="2"/>
  <c r="AA310" i="2"/>
  <c r="X310" i="2"/>
  <c r="R310" i="2"/>
  <c r="Q310" i="2"/>
  <c r="Z310" i="2" s="1"/>
  <c r="P310" i="2"/>
  <c r="Y310" i="2" s="1"/>
  <c r="O310" i="2"/>
  <c r="N310" i="2"/>
  <c r="M310" i="2"/>
  <c r="L310" i="2"/>
  <c r="K310" i="2"/>
  <c r="H310" i="2"/>
  <c r="F310" i="2"/>
  <c r="E310" i="2"/>
  <c r="E281" i="2" s="1"/>
  <c r="Z309" i="2"/>
  <c r="Y309" i="2"/>
  <c r="X309" i="2"/>
  <c r="T309" i="2"/>
  <c r="S309" i="2"/>
  <c r="V309" i="2" s="1"/>
  <c r="BT309" i="2" s="1"/>
  <c r="R309" i="2"/>
  <c r="Q309" i="2"/>
  <c r="W309" i="2" s="1"/>
  <c r="BR309" i="2" s="1"/>
  <c r="P309" i="2"/>
  <c r="O309" i="2"/>
  <c r="BN309" i="2" s="1"/>
  <c r="J309" i="2"/>
  <c r="I309" i="2"/>
  <c r="G309" i="2"/>
  <c r="BE308" i="2"/>
  <c r="BE290" i="2" s="1"/>
  <c r="Z308" i="2"/>
  <c r="V308" i="2"/>
  <c r="BT308" i="2" s="1"/>
  <c r="T308" i="2"/>
  <c r="S308" i="2"/>
  <c r="R308" i="2"/>
  <c r="Q308" i="2"/>
  <c r="BO308" i="2" s="1"/>
  <c r="P308" i="2"/>
  <c r="Y308" i="2" s="1"/>
  <c r="O308" i="2"/>
  <c r="X308" i="2" s="1"/>
  <c r="J308" i="2"/>
  <c r="I308" i="2"/>
  <c r="G308" i="2"/>
  <c r="BN307" i="2"/>
  <c r="BB307" i="2"/>
  <c r="X307" i="2"/>
  <c r="V307" i="2"/>
  <c r="BT307" i="2" s="1"/>
  <c r="T307" i="2"/>
  <c r="S307" i="2"/>
  <c r="R307" i="2"/>
  <c r="Q307" i="2"/>
  <c r="Z307" i="2" s="1"/>
  <c r="P307" i="2"/>
  <c r="Y307" i="2" s="1"/>
  <c r="O307" i="2"/>
  <c r="U307" i="2" s="1"/>
  <c r="BQ307" i="2" s="1"/>
  <c r="G307" i="2"/>
  <c r="J307" i="2" s="1"/>
  <c r="BN306" i="2"/>
  <c r="BE306" i="2"/>
  <c r="Z306" i="2"/>
  <c r="Y306" i="2"/>
  <c r="X306" i="2"/>
  <c r="T306" i="2"/>
  <c r="S306" i="2"/>
  <c r="V306" i="2" s="1"/>
  <c r="BT306" i="2" s="1"/>
  <c r="R306" i="2"/>
  <c r="Q306" i="2"/>
  <c r="BO306" i="2" s="1"/>
  <c r="BP306" i="2" s="1"/>
  <c r="P306" i="2"/>
  <c r="O306" i="2"/>
  <c r="U306" i="2" s="1"/>
  <c r="BQ306" i="2" s="1"/>
  <c r="J306" i="2"/>
  <c r="I306" i="2"/>
  <c r="G306" i="2"/>
  <c r="Z305" i="2"/>
  <c r="Y305" i="2"/>
  <c r="T305" i="2"/>
  <c r="S305" i="2"/>
  <c r="V305" i="2" s="1"/>
  <c r="BT305" i="2" s="1"/>
  <c r="R305" i="2"/>
  <c r="Q305" i="2"/>
  <c r="W305" i="2" s="1"/>
  <c r="BR305" i="2" s="1"/>
  <c r="P305" i="2"/>
  <c r="O305" i="2"/>
  <c r="X305" i="2" s="1"/>
  <c r="J305" i="2"/>
  <c r="I305" i="2"/>
  <c r="G305" i="2"/>
  <c r="BT304" i="2"/>
  <c r="BO304" i="2"/>
  <c r="Z304" i="2"/>
  <c r="V304" i="2"/>
  <c r="T304" i="2"/>
  <c r="S304" i="2"/>
  <c r="R304" i="2"/>
  <c r="Q304" i="2"/>
  <c r="W304" i="2" s="1"/>
  <c r="BR304" i="2" s="1"/>
  <c r="P304" i="2"/>
  <c r="Y304" i="2" s="1"/>
  <c r="O304" i="2"/>
  <c r="X304" i="2" s="1"/>
  <c r="J304" i="2"/>
  <c r="I304" i="2"/>
  <c r="G304" i="2"/>
  <c r="BN303" i="2"/>
  <c r="BB303" i="2"/>
  <c r="X303" i="2"/>
  <c r="V303" i="2"/>
  <c r="BT303" i="2" s="1"/>
  <c r="T303" i="2"/>
  <c r="S303" i="2"/>
  <c r="R303" i="2"/>
  <c r="Q303" i="2"/>
  <c r="Z303" i="2" s="1"/>
  <c r="P303" i="2"/>
  <c r="Y303" i="2" s="1"/>
  <c r="O303" i="2"/>
  <c r="U303" i="2" s="1"/>
  <c r="BQ303" i="2" s="1"/>
  <c r="G303" i="2"/>
  <c r="J303" i="2" s="1"/>
  <c r="Y302" i="2"/>
  <c r="X302" i="2"/>
  <c r="T302" i="2"/>
  <c r="S302" i="2"/>
  <c r="V302" i="2" s="1"/>
  <c r="BT302" i="2" s="1"/>
  <c r="R302" i="2"/>
  <c r="Q302" i="2"/>
  <c r="BO302" i="2" s="1"/>
  <c r="P302" i="2"/>
  <c r="O302" i="2"/>
  <c r="BN302" i="2" s="1"/>
  <c r="G302" i="2"/>
  <c r="J302" i="2" s="1"/>
  <c r="Z301" i="2"/>
  <c r="Y301" i="2"/>
  <c r="X301" i="2"/>
  <c r="T301" i="2"/>
  <c r="S301" i="2"/>
  <c r="V301" i="2" s="1"/>
  <c r="BT301" i="2" s="1"/>
  <c r="R301" i="2"/>
  <c r="Q301" i="2"/>
  <c r="W301" i="2" s="1"/>
  <c r="BR301" i="2" s="1"/>
  <c r="P301" i="2"/>
  <c r="O301" i="2"/>
  <c r="BN301" i="2" s="1"/>
  <c r="J301" i="2"/>
  <c r="I301" i="2"/>
  <c r="G301" i="2"/>
  <c r="E301" i="2"/>
  <c r="BT300" i="2"/>
  <c r="BO300" i="2"/>
  <c r="Z300" i="2"/>
  <c r="V300" i="2"/>
  <c r="T300" i="2"/>
  <c r="S300" i="2"/>
  <c r="R300" i="2"/>
  <c r="Q300" i="2"/>
  <c r="W300" i="2" s="1"/>
  <c r="BR300" i="2" s="1"/>
  <c r="P300" i="2"/>
  <c r="Y300" i="2" s="1"/>
  <c r="O300" i="2"/>
  <c r="X300" i="2" s="1"/>
  <c r="I300" i="2"/>
  <c r="G300" i="2"/>
  <c r="BO299" i="2"/>
  <c r="V299" i="2"/>
  <c r="BT299" i="2" s="1"/>
  <c r="T299" i="2"/>
  <c r="S299" i="2"/>
  <c r="R299" i="2"/>
  <c r="Q299" i="2"/>
  <c r="Z299" i="2" s="1"/>
  <c r="P299" i="2"/>
  <c r="Y299" i="2" s="1"/>
  <c r="O299" i="2"/>
  <c r="X299" i="2" s="1"/>
  <c r="K299" i="2"/>
  <c r="G299" i="2"/>
  <c r="J299" i="2" s="1"/>
  <c r="Y298" i="2"/>
  <c r="X298" i="2"/>
  <c r="T298" i="2"/>
  <c r="S298" i="2"/>
  <c r="V298" i="2" s="1"/>
  <c r="BT298" i="2" s="1"/>
  <c r="R298" i="2"/>
  <c r="Q298" i="2"/>
  <c r="BO298" i="2" s="1"/>
  <c r="P298" i="2"/>
  <c r="O298" i="2"/>
  <c r="BN298" i="2" s="1"/>
  <c r="G298" i="2"/>
  <c r="J298" i="2" s="1"/>
  <c r="AY297" i="2"/>
  <c r="AY290" i="2" s="1"/>
  <c r="Z297" i="2"/>
  <c r="Y297" i="2"/>
  <c r="T297" i="2"/>
  <c r="T290" i="2" s="1"/>
  <c r="S297" i="2"/>
  <c r="V297" i="2" s="1"/>
  <c r="BT297" i="2" s="1"/>
  <c r="R297" i="2"/>
  <c r="Q297" i="2"/>
  <c r="BO297" i="2" s="1"/>
  <c r="P297" i="2"/>
  <c r="O297" i="2"/>
  <c r="X297" i="2" s="1"/>
  <c r="J297" i="2"/>
  <c r="I297" i="2"/>
  <c r="G297" i="2"/>
  <c r="BT296" i="2"/>
  <c r="BO296" i="2"/>
  <c r="Z296" i="2"/>
  <c r="V296" i="2"/>
  <c r="T296" i="2"/>
  <c r="S296" i="2"/>
  <c r="R296" i="2"/>
  <c r="Q296" i="2"/>
  <c r="W296" i="2" s="1"/>
  <c r="BR296" i="2" s="1"/>
  <c r="P296" i="2"/>
  <c r="Y296" i="2" s="1"/>
  <c r="O296" i="2"/>
  <c r="X296" i="2" s="1"/>
  <c r="J296" i="2"/>
  <c r="G296" i="2"/>
  <c r="I296" i="2" s="1"/>
  <c r="BO295" i="2"/>
  <c r="V295" i="2"/>
  <c r="BT295" i="2" s="1"/>
  <c r="T295" i="2"/>
  <c r="S295" i="2"/>
  <c r="R295" i="2"/>
  <c r="Q295" i="2"/>
  <c r="Z295" i="2" s="1"/>
  <c r="P295" i="2"/>
  <c r="Y295" i="2" s="1"/>
  <c r="O295" i="2"/>
  <c r="X295" i="2" s="1"/>
  <c r="J295" i="2"/>
  <c r="I295" i="2"/>
  <c r="G295" i="2"/>
  <c r="X294" i="2"/>
  <c r="V294" i="2"/>
  <c r="BT294" i="2" s="1"/>
  <c r="T294" i="2"/>
  <c r="S294" i="2"/>
  <c r="R294" i="2"/>
  <c r="Q294" i="2"/>
  <c r="Z294" i="2" s="1"/>
  <c r="P294" i="2"/>
  <c r="Y294" i="2" s="1"/>
  <c r="O294" i="2"/>
  <c r="BN294" i="2" s="1"/>
  <c r="G294" i="2"/>
  <c r="J294" i="2" s="1"/>
  <c r="Y293" i="2"/>
  <c r="X293" i="2"/>
  <c r="T293" i="2"/>
  <c r="S293" i="2"/>
  <c r="V293" i="2" s="1"/>
  <c r="BT293" i="2" s="1"/>
  <c r="R293" i="2"/>
  <c r="R290" i="2" s="1"/>
  <c r="Q293" i="2"/>
  <c r="BO293" i="2" s="1"/>
  <c r="P293" i="2"/>
  <c r="O293" i="2"/>
  <c r="BN293" i="2" s="1"/>
  <c r="G293" i="2"/>
  <c r="J293" i="2" s="1"/>
  <c r="Z292" i="2"/>
  <c r="Y292" i="2"/>
  <c r="X292" i="2"/>
  <c r="T292" i="2"/>
  <c r="S292" i="2"/>
  <c r="V292" i="2" s="1"/>
  <c r="BT292" i="2" s="1"/>
  <c r="R292" i="2"/>
  <c r="Q292" i="2"/>
  <c r="W292" i="2" s="1"/>
  <c r="BR292" i="2" s="1"/>
  <c r="P292" i="2"/>
  <c r="O292" i="2"/>
  <c r="BN292" i="2" s="1"/>
  <c r="J292" i="2"/>
  <c r="I292" i="2"/>
  <c r="G292" i="2"/>
  <c r="E292" i="2"/>
  <c r="BT291" i="2"/>
  <c r="BO291" i="2"/>
  <c r="Z291" i="2"/>
  <c r="V291" i="2"/>
  <c r="T291" i="2"/>
  <c r="S291" i="2"/>
  <c r="R291" i="2"/>
  <c r="Q291" i="2"/>
  <c r="W291" i="2" s="1"/>
  <c r="P291" i="2"/>
  <c r="Y291" i="2" s="1"/>
  <c r="O291" i="2"/>
  <c r="X291" i="2" s="1"/>
  <c r="G291" i="2"/>
  <c r="I291" i="2" s="1"/>
  <c r="BM290" i="2"/>
  <c r="BL290" i="2"/>
  <c r="BK290" i="2"/>
  <c r="BJ290" i="2"/>
  <c r="BI290" i="2"/>
  <c r="BH290" i="2"/>
  <c r="BG290" i="2"/>
  <c r="BF290" i="2"/>
  <c r="BD290" i="2"/>
  <c r="BC290" i="2"/>
  <c r="BB290" i="2"/>
  <c r="BA290" i="2"/>
  <c r="AZ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G290" i="2"/>
  <c r="AF290" i="2"/>
  <c r="AE290" i="2"/>
  <c r="AD290" i="2"/>
  <c r="AC290" i="2"/>
  <c r="AB290" i="2"/>
  <c r="AA290" i="2"/>
  <c r="S290" i="2"/>
  <c r="N290" i="2"/>
  <c r="M290" i="2"/>
  <c r="L290" i="2"/>
  <c r="K290" i="2"/>
  <c r="H290" i="2"/>
  <c r="G290" i="2"/>
  <c r="F290" i="2"/>
  <c r="E290" i="2"/>
  <c r="BO289" i="2"/>
  <c r="BE289" i="2"/>
  <c r="BE287" i="2" s="1"/>
  <c r="AY289" i="2"/>
  <c r="AY287" i="2" s="1"/>
  <c r="AV289" i="2"/>
  <c r="O289" i="2" s="1"/>
  <c r="AG289" i="2"/>
  <c r="Z289" i="2"/>
  <c r="Y289" i="2"/>
  <c r="T289" i="2"/>
  <c r="S289" i="2"/>
  <c r="V289" i="2" s="1"/>
  <c r="BT289" i="2" s="1"/>
  <c r="R289" i="2"/>
  <c r="Q289" i="2"/>
  <c r="W289" i="2" s="1"/>
  <c r="BR289" i="2" s="1"/>
  <c r="P289" i="2"/>
  <c r="K289" i="2"/>
  <c r="K287" i="2" s="1"/>
  <c r="J289" i="2"/>
  <c r="I289" i="2"/>
  <c r="G289" i="2"/>
  <c r="BT288" i="2"/>
  <c r="BT287" i="2" s="1"/>
  <c r="BO288" i="2"/>
  <c r="Z288" i="2"/>
  <c r="V288" i="2"/>
  <c r="T288" i="2"/>
  <c r="S288" i="2"/>
  <c r="R288" i="2"/>
  <c r="Q288" i="2"/>
  <c r="W288" i="2" s="1"/>
  <c r="P288" i="2"/>
  <c r="Y288" i="2" s="1"/>
  <c r="O288" i="2"/>
  <c r="X288" i="2" s="1"/>
  <c r="J288" i="2"/>
  <c r="G288" i="2"/>
  <c r="I288" i="2" s="1"/>
  <c r="BO287" i="2"/>
  <c r="BM287" i="2"/>
  <c r="BL287" i="2"/>
  <c r="BK287" i="2"/>
  <c r="BJ287" i="2"/>
  <c r="BI287" i="2"/>
  <c r="BH287" i="2"/>
  <c r="BG287" i="2"/>
  <c r="BF287" i="2"/>
  <c r="BD287" i="2"/>
  <c r="BC287" i="2"/>
  <c r="BB287" i="2"/>
  <c r="BA287" i="2"/>
  <c r="AZ287" i="2"/>
  <c r="AX287" i="2"/>
  <c r="AW287" i="2"/>
  <c r="AV287" i="2"/>
  <c r="AU287" i="2"/>
  <c r="AT287" i="2"/>
  <c r="AS287" i="2"/>
  <c r="AR287" i="2"/>
  <c r="AQ287" i="2"/>
  <c r="AP287" i="2"/>
  <c r="AO287" i="2"/>
  <c r="AN287" i="2"/>
  <c r="AM287" i="2"/>
  <c r="AL287" i="2"/>
  <c r="AK287" i="2"/>
  <c r="AJ287" i="2"/>
  <c r="AI287" i="2"/>
  <c r="AH287" i="2"/>
  <c r="AG287" i="2"/>
  <c r="AF287" i="2"/>
  <c r="AE287" i="2"/>
  <c r="AD287" i="2"/>
  <c r="AC287" i="2"/>
  <c r="AB287" i="2"/>
  <c r="AA287" i="2"/>
  <c r="Z287" i="2"/>
  <c r="T287" i="2"/>
  <c r="S287" i="2"/>
  <c r="R287" i="2"/>
  <c r="Q287" i="2"/>
  <c r="N287" i="2"/>
  <c r="M287" i="2"/>
  <c r="L287" i="2"/>
  <c r="H287" i="2"/>
  <c r="G287" i="2"/>
  <c r="J287" i="2" s="1"/>
  <c r="F287" i="2"/>
  <c r="E287" i="2"/>
  <c r="BT286" i="2"/>
  <c r="BO286" i="2"/>
  <c r="Z286" i="2"/>
  <c r="V286" i="2"/>
  <c r="T286" i="2"/>
  <c r="S286" i="2"/>
  <c r="R286" i="2"/>
  <c r="Q286" i="2"/>
  <c r="W286" i="2" s="1"/>
  <c r="BR286" i="2" s="1"/>
  <c r="P286" i="2"/>
  <c r="Y286" i="2" s="1"/>
  <c r="O286" i="2"/>
  <c r="X286" i="2" s="1"/>
  <c r="I286" i="2"/>
  <c r="G286" i="2"/>
  <c r="BO285" i="2"/>
  <c r="BE285" i="2"/>
  <c r="BB285" i="2"/>
  <c r="AY285" i="2"/>
  <c r="AV285" i="2"/>
  <c r="AM285" i="2"/>
  <c r="AM282" i="2" s="1"/>
  <c r="AM281" i="2" s="1"/>
  <c r="Z285" i="2"/>
  <c r="V285" i="2"/>
  <c r="BT285" i="2" s="1"/>
  <c r="T285" i="2"/>
  <c r="S285" i="2"/>
  <c r="R285" i="2"/>
  <c r="Q285" i="2"/>
  <c r="W285" i="2" s="1"/>
  <c r="BR285" i="2" s="1"/>
  <c r="P285" i="2"/>
  <c r="Y285" i="2" s="1"/>
  <c r="O285" i="2"/>
  <c r="J285" i="2" s="1"/>
  <c r="K285" i="2"/>
  <c r="I285" i="2" s="1"/>
  <c r="G285" i="2"/>
  <c r="X284" i="2"/>
  <c r="V284" i="2"/>
  <c r="BT284" i="2" s="1"/>
  <c r="T284" i="2"/>
  <c r="S284" i="2"/>
  <c r="R284" i="2"/>
  <c r="R282" i="2" s="1"/>
  <c r="Q284" i="2"/>
  <c r="Z284" i="2" s="1"/>
  <c r="P284" i="2"/>
  <c r="Y284" i="2" s="1"/>
  <c r="O284" i="2"/>
  <c r="BN284" i="2" s="1"/>
  <c r="G284" i="2"/>
  <c r="J284" i="2" s="1"/>
  <c r="BE283" i="2"/>
  <c r="BB283" i="2"/>
  <c r="BB282" i="2" s="1"/>
  <c r="BB281" i="2" s="1"/>
  <c r="BB280" i="2" s="1"/>
  <c r="AY283" i="2"/>
  <c r="O283" i="2" s="1"/>
  <c r="AV283" i="2"/>
  <c r="AV282" i="2" s="1"/>
  <c r="AV281" i="2" s="1"/>
  <c r="AS283" i="2"/>
  <c r="AP283" i="2"/>
  <c r="AM283" i="2"/>
  <c r="AG283" i="2"/>
  <c r="Z283" i="2"/>
  <c r="Y283" i="2"/>
  <c r="T283" i="2"/>
  <c r="S283" i="2"/>
  <c r="V283" i="2" s="1"/>
  <c r="R283" i="2"/>
  <c r="Q283" i="2"/>
  <c r="BO283" i="2" s="1"/>
  <c r="P283" i="2"/>
  <c r="K283" i="2"/>
  <c r="I283" i="2" s="1"/>
  <c r="G283" i="2"/>
  <c r="E283" i="2"/>
  <c r="BM282" i="2"/>
  <c r="BL282" i="2"/>
  <c r="BK282" i="2"/>
  <c r="BK281" i="2" s="1"/>
  <c r="BJ282" i="2"/>
  <c r="BJ281" i="2" s="1"/>
  <c r="BI282" i="2"/>
  <c r="BH282" i="2"/>
  <c r="BG282" i="2"/>
  <c r="BF282" i="2"/>
  <c r="BE282" i="2"/>
  <c r="BD282" i="2"/>
  <c r="BD281" i="2" s="1"/>
  <c r="BC282" i="2"/>
  <c r="BA282" i="2"/>
  <c r="AZ282" i="2"/>
  <c r="AX282" i="2"/>
  <c r="AX281" i="2" s="1"/>
  <c r="AW282" i="2"/>
  <c r="AU282" i="2"/>
  <c r="AT282" i="2"/>
  <c r="AS282" i="2"/>
  <c r="AS281" i="2" s="1"/>
  <c r="AR282" i="2"/>
  <c r="AR281" i="2" s="1"/>
  <c r="AQ282" i="2"/>
  <c r="AP282" i="2"/>
  <c r="AO282" i="2"/>
  <c r="AN282" i="2"/>
  <c r="AL282" i="2"/>
  <c r="AL281" i="2" s="1"/>
  <c r="AK282" i="2"/>
  <c r="AJ282" i="2"/>
  <c r="AI282" i="2"/>
  <c r="AH282" i="2"/>
  <c r="AG282" i="2"/>
  <c r="AG281" i="2" s="1"/>
  <c r="AF282" i="2"/>
  <c r="AF281" i="2" s="1"/>
  <c r="AE282" i="2"/>
  <c r="AD282" i="2"/>
  <c r="AC282" i="2"/>
  <c r="AB282" i="2"/>
  <c r="AA282" i="2"/>
  <c r="AA281" i="2" s="1"/>
  <c r="T282" i="2"/>
  <c r="S282" i="2"/>
  <c r="N282" i="2"/>
  <c r="N281" i="2" s="1"/>
  <c r="M282" i="2"/>
  <c r="L282" i="2"/>
  <c r="H282" i="2"/>
  <c r="H281" i="2" s="1"/>
  <c r="F282" i="2"/>
  <c r="E282" i="2"/>
  <c r="BL281" i="2"/>
  <c r="BI281" i="2"/>
  <c r="BH281" i="2"/>
  <c r="BF281" i="2"/>
  <c r="BC281" i="2"/>
  <c r="AZ281" i="2"/>
  <c r="AW281" i="2"/>
  <c r="AT281" i="2"/>
  <c r="AQ281" i="2"/>
  <c r="AN281" i="2"/>
  <c r="AK281" i="2"/>
  <c r="AJ281" i="2"/>
  <c r="AH281" i="2"/>
  <c r="AE281" i="2"/>
  <c r="AD281" i="2"/>
  <c r="AB281" i="2"/>
  <c r="M281" i="2"/>
  <c r="L281" i="2"/>
  <c r="F281" i="2"/>
  <c r="F280" i="2"/>
  <c r="Z278" i="2"/>
  <c r="Y278" i="2"/>
  <c r="T278" i="2"/>
  <c r="S278" i="2"/>
  <c r="V278" i="2" s="1"/>
  <c r="BT278" i="2" s="1"/>
  <c r="R278" i="2"/>
  <c r="Q278" i="2"/>
  <c r="W278" i="2" s="1"/>
  <c r="BR278" i="2" s="1"/>
  <c r="P278" i="2"/>
  <c r="O278" i="2"/>
  <c r="X278" i="2" s="1"/>
  <c r="J278" i="2"/>
  <c r="I278" i="2"/>
  <c r="Z277" i="2"/>
  <c r="Y277" i="2"/>
  <c r="T277" i="2"/>
  <c r="T273" i="2" s="1"/>
  <c r="S277" i="2"/>
  <c r="V277" i="2" s="1"/>
  <c r="BT277" i="2" s="1"/>
  <c r="R277" i="2"/>
  <c r="Q277" i="2"/>
  <c r="W277" i="2" s="1"/>
  <c r="BR277" i="2" s="1"/>
  <c r="P277" i="2"/>
  <c r="O277" i="2"/>
  <c r="X277" i="2" s="1"/>
  <c r="J277" i="2"/>
  <c r="I277" i="2"/>
  <c r="Z276" i="2"/>
  <c r="Y276" i="2"/>
  <c r="T276" i="2"/>
  <c r="S276" i="2"/>
  <c r="V276" i="2" s="1"/>
  <c r="BT276" i="2" s="1"/>
  <c r="R276" i="2"/>
  <c r="Q276" i="2"/>
  <c r="W276" i="2" s="1"/>
  <c r="BR276" i="2" s="1"/>
  <c r="P276" i="2"/>
  <c r="O276" i="2"/>
  <c r="X276" i="2" s="1"/>
  <c r="J276" i="2"/>
  <c r="I276" i="2"/>
  <c r="G276" i="2"/>
  <c r="BT275" i="2"/>
  <c r="BO275" i="2"/>
  <c r="Z275" i="2"/>
  <c r="V275" i="2"/>
  <c r="T275" i="2"/>
  <c r="S275" i="2"/>
  <c r="R275" i="2"/>
  <c r="Q275" i="2"/>
  <c r="W275" i="2" s="1"/>
  <c r="BR275" i="2" s="1"/>
  <c r="P275" i="2"/>
  <c r="Y275" i="2" s="1"/>
  <c r="O275" i="2"/>
  <c r="J275" i="2"/>
  <c r="G275" i="2"/>
  <c r="I275" i="2" s="1"/>
  <c r="BO274" i="2"/>
  <c r="V274" i="2"/>
  <c r="T274" i="2"/>
  <c r="S274" i="2"/>
  <c r="R274" i="2"/>
  <c r="Q274" i="2"/>
  <c r="Z274" i="2" s="1"/>
  <c r="P274" i="2"/>
  <c r="O274" i="2"/>
  <c r="X274" i="2" s="1"/>
  <c r="I274" i="2"/>
  <c r="G274" i="2"/>
  <c r="J274" i="2" s="1"/>
  <c r="BM273" i="2"/>
  <c r="BL273" i="2"/>
  <c r="BK273" i="2"/>
  <c r="BJ273" i="2"/>
  <c r="BI273" i="2"/>
  <c r="BH273" i="2"/>
  <c r="BG273" i="2"/>
  <c r="BF273" i="2"/>
  <c r="BE273" i="2"/>
  <c r="BD273" i="2"/>
  <c r="BC273" i="2"/>
  <c r="BB273" i="2"/>
  <c r="BA273" i="2"/>
  <c r="AZ273" i="2"/>
  <c r="AY273" i="2"/>
  <c r="AX273" i="2"/>
  <c r="AW273" i="2"/>
  <c r="AV273" i="2"/>
  <c r="AU273" i="2"/>
  <c r="AT273" i="2"/>
  <c r="AS273" i="2"/>
  <c r="AR273" i="2"/>
  <c r="AQ273" i="2"/>
  <c r="AP273" i="2"/>
  <c r="AO273" i="2"/>
  <c r="AN273" i="2"/>
  <c r="AM273" i="2"/>
  <c r="AL273" i="2"/>
  <c r="AK273" i="2"/>
  <c r="AJ273" i="2"/>
  <c r="AI273" i="2"/>
  <c r="AH273" i="2"/>
  <c r="AG273" i="2"/>
  <c r="AF273" i="2"/>
  <c r="AE273" i="2"/>
  <c r="AD273" i="2"/>
  <c r="AC273" i="2"/>
  <c r="AB273" i="2"/>
  <c r="AA273" i="2"/>
  <c r="S273" i="2"/>
  <c r="R273" i="2"/>
  <c r="N273" i="2"/>
  <c r="M273" i="2"/>
  <c r="L273" i="2"/>
  <c r="K273" i="2"/>
  <c r="I273" i="2"/>
  <c r="H273" i="2"/>
  <c r="G273" i="2"/>
  <c r="J273" i="2" s="1"/>
  <c r="F273" i="2"/>
  <c r="E273" i="2"/>
  <c r="BO272" i="2"/>
  <c r="BO271" i="2" s="1"/>
  <c r="V272" i="2"/>
  <c r="T272" i="2"/>
  <c r="S272" i="2"/>
  <c r="R272" i="2"/>
  <c r="Q272" i="2"/>
  <c r="Z272" i="2" s="1"/>
  <c r="P272" i="2"/>
  <c r="O272" i="2"/>
  <c r="X272" i="2" s="1"/>
  <c r="I272" i="2"/>
  <c r="G272" i="2"/>
  <c r="J272" i="2" s="1"/>
  <c r="BM271" i="2"/>
  <c r="BL271" i="2"/>
  <c r="BK271" i="2"/>
  <c r="BK268" i="2" s="1"/>
  <c r="BK259" i="2" s="1"/>
  <c r="BJ271" i="2"/>
  <c r="BI271" i="2"/>
  <c r="BH271" i="2"/>
  <c r="BG271" i="2"/>
  <c r="BF271" i="2"/>
  <c r="BE271" i="2"/>
  <c r="BE268" i="2" s="1"/>
  <c r="BE259" i="2" s="1"/>
  <c r="BD271" i="2"/>
  <c r="BC271" i="2"/>
  <c r="BB271" i="2"/>
  <c r="BA271" i="2"/>
  <c r="AZ271" i="2"/>
  <c r="AY271" i="2"/>
  <c r="AY268" i="2" s="1"/>
  <c r="AY259" i="2" s="1"/>
  <c r="AX271" i="2"/>
  <c r="AW271" i="2"/>
  <c r="AV271" i="2"/>
  <c r="AU271" i="2"/>
  <c r="AT271" i="2"/>
  <c r="AS271" i="2"/>
  <c r="AS268" i="2" s="1"/>
  <c r="AS259" i="2" s="1"/>
  <c r="AR271" i="2"/>
  <c r="AQ271" i="2"/>
  <c r="AP271" i="2"/>
  <c r="AO271" i="2"/>
  <c r="AN271" i="2"/>
  <c r="AM271" i="2"/>
  <c r="AM268" i="2" s="1"/>
  <c r="AM259" i="2" s="1"/>
  <c r="AL271" i="2"/>
  <c r="AK271" i="2"/>
  <c r="AJ271" i="2"/>
  <c r="AI271" i="2"/>
  <c r="AH271" i="2"/>
  <c r="AG271" i="2"/>
  <c r="AG268" i="2" s="1"/>
  <c r="AG259" i="2" s="1"/>
  <c r="AF271" i="2"/>
  <c r="AE271" i="2"/>
  <c r="AD271" i="2"/>
  <c r="AC271" i="2"/>
  <c r="AB271" i="2"/>
  <c r="AA271" i="2"/>
  <c r="AA268" i="2" s="1"/>
  <c r="AA259" i="2" s="1"/>
  <c r="T271" i="2"/>
  <c r="S271" i="2"/>
  <c r="R271" i="2"/>
  <c r="O271" i="2"/>
  <c r="X271" i="2" s="1"/>
  <c r="N271" i="2"/>
  <c r="M271" i="2"/>
  <c r="L271" i="2"/>
  <c r="K271" i="2"/>
  <c r="I271" i="2"/>
  <c r="H271" i="2"/>
  <c r="G271" i="2"/>
  <c r="J271" i="2" s="1"/>
  <c r="F271" i="2"/>
  <c r="E271" i="2"/>
  <c r="BO270" i="2"/>
  <c r="V270" i="2"/>
  <c r="T270" i="2"/>
  <c r="S270" i="2"/>
  <c r="R270" i="2"/>
  <c r="Q270" i="2"/>
  <c r="Z270" i="2" s="1"/>
  <c r="P270" i="2"/>
  <c r="O270" i="2"/>
  <c r="X270" i="2" s="1"/>
  <c r="J270" i="2"/>
  <c r="I270" i="2"/>
  <c r="BO269" i="2"/>
  <c r="BM269" i="2"/>
  <c r="BL269" i="2"/>
  <c r="BK269" i="2"/>
  <c r="BJ269" i="2"/>
  <c r="BI269" i="2"/>
  <c r="BI268" i="2" s="1"/>
  <c r="BH269" i="2"/>
  <c r="BG269" i="2"/>
  <c r="BF269" i="2"/>
  <c r="BE269" i="2"/>
  <c r="BD269" i="2"/>
  <c r="BC269" i="2"/>
  <c r="BC268" i="2" s="1"/>
  <c r="BB269" i="2"/>
  <c r="BA269" i="2"/>
  <c r="AZ269" i="2"/>
  <c r="AY269" i="2"/>
  <c r="AX269" i="2"/>
  <c r="AW269" i="2"/>
  <c r="AW268" i="2" s="1"/>
  <c r="AV269" i="2"/>
  <c r="AU269" i="2"/>
  <c r="AT269" i="2"/>
  <c r="AS269" i="2"/>
  <c r="AR269" i="2"/>
  <c r="AQ269" i="2"/>
  <c r="AQ268" i="2" s="1"/>
  <c r="AP269" i="2"/>
  <c r="AO269" i="2"/>
  <c r="AN269" i="2"/>
  <c r="AM269" i="2"/>
  <c r="AL269" i="2"/>
  <c r="AK269" i="2"/>
  <c r="AK268" i="2" s="1"/>
  <c r="AJ269" i="2"/>
  <c r="AI269" i="2"/>
  <c r="AH269" i="2"/>
  <c r="AG269" i="2"/>
  <c r="AF269" i="2"/>
  <c r="AE269" i="2"/>
  <c r="AE268" i="2" s="1"/>
  <c r="AD269" i="2"/>
  <c r="AC269" i="2"/>
  <c r="AB269" i="2"/>
  <c r="AA269" i="2"/>
  <c r="T269" i="2"/>
  <c r="S269" i="2"/>
  <c r="S268" i="2" s="1"/>
  <c r="R269" i="2"/>
  <c r="N269" i="2"/>
  <c r="M269" i="2"/>
  <c r="M268" i="2" s="1"/>
  <c r="L269" i="2"/>
  <c r="K269" i="2"/>
  <c r="H269" i="2"/>
  <c r="H268" i="2" s="1"/>
  <c r="G269" i="2"/>
  <c r="F269" i="2"/>
  <c r="E269" i="2"/>
  <c r="BM268" i="2"/>
  <c r="BL268" i="2"/>
  <c r="BH268" i="2"/>
  <c r="BG268" i="2"/>
  <c r="BF268" i="2"/>
  <c r="BB268" i="2"/>
  <c r="BB259" i="2" s="1"/>
  <c r="BA268" i="2"/>
  <c r="AZ268" i="2"/>
  <c r="AV268" i="2"/>
  <c r="AU268" i="2"/>
  <c r="AT268" i="2"/>
  <c r="AP268" i="2"/>
  <c r="AP259" i="2" s="1"/>
  <c r="AO268" i="2"/>
  <c r="AN268" i="2"/>
  <c r="AJ268" i="2"/>
  <c r="AI268" i="2"/>
  <c r="AH268" i="2"/>
  <c r="AD268" i="2"/>
  <c r="AD259" i="2" s="1"/>
  <c r="AC268" i="2"/>
  <c r="AB268" i="2"/>
  <c r="R268" i="2"/>
  <c r="L268" i="2"/>
  <c r="L259" i="2" s="1"/>
  <c r="K268" i="2"/>
  <c r="F268" i="2"/>
  <c r="E268" i="2"/>
  <c r="Z267" i="2"/>
  <c r="Y267" i="2"/>
  <c r="T267" i="2"/>
  <c r="T266" i="2" s="1"/>
  <c r="S267" i="2"/>
  <c r="V267" i="2" s="1"/>
  <c r="R267" i="2"/>
  <c r="Q267" i="2"/>
  <c r="W267" i="2" s="1"/>
  <c r="P267" i="2"/>
  <c r="O267" i="2"/>
  <c r="X267" i="2" s="1"/>
  <c r="J267" i="2"/>
  <c r="I267" i="2"/>
  <c r="G267" i="2"/>
  <c r="BM266" i="2"/>
  <c r="BL266" i="2"/>
  <c r="BK266" i="2"/>
  <c r="BJ266" i="2"/>
  <c r="BI266" i="2"/>
  <c r="BH266" i="2"/>
  <c r="BH259" i="2" s="1"/>
  <c r="BG266" i="2"/>
  <c r="BF266" i="2"/>
  <c r="BE266" i="2"/>
  <c r="BD266" i="2"/>
  <c r="BC266" i="2"/>
  <c r="BB266" i="2"/>
  <c r="BA266" i="2"/>
  <c r="AZ266" i="2"/>
  <c r="AY266" i="2"/>
  <c r="AX266" i="2"/>
  <c r="AW266" i="2"/>
  <c r="AV266" i="2"/>
  <c r="AV259" i="2" s="1"/>
  <c r="AU266" i="2"/>
  <c r="AT266" i="2"/>
  <c r="AS266" i="2"/>
  <c r="AR266" i="2"/>
  <c r="AQ266" i="2"/>
  <c r="AP266" i="2"/>
  <c r="AO266" i="2"/>
  <c r="AN266" i="2"/>
  <c r="AM266" i="2"/>
  <c r="AL266" i="2"/>
  <c r="AK266" i="2"/>
  <c r="AJ266" i="2"/>
  <c r="AJ259" i="2" s="1"/>
  <c r="AI266" i="2"/>
  <c r="AH266" i="2"/>
  <c r="AG266" i="2"/>
  <c r="AF266" i="2"/>
  <c r="AE266" i="2"/>
  <c r="AD266" i="2"/>
  <c r="AC266" i="2"/>
  <c r="AB266" i="2"/>
  <c r="AA266" i="2"/>
  <c r="S266" i="2"/>
  <c r="R266" i="2"/>
  <c r="Q266" i="2"/>
  <c r="Z266" i="2" s="1"/>
  <c r="P266" i="2"/>
  <c r="N266" i="2"/>
  <c r="M266" i="2"/>
  <c r="L266" i="2"/>
  <c r="Y266" i="2" s="1"/>
  <c r="K266" i="2"/>
  <c r="H266" i="2"/>
  <c r="G266" i="2"/>
  <c r="J266" i="2" s="1"/>
  <c r="F266" i="2"/>
  <c r="E266" i="2"/>
  <c r="Z265" i="2"/>
  <c r="Y265" i="2"/>
  <c r="T265" i="2"/>
  <c r="S265" i="2"/>
  <c r="V265" i="2" s="1"/>
  <c r="BT265" i="2" s="1"/>
  <c r="R265" i="2"/>
  <c r="Q265" i="2"/>
  <c r="W265" i="2" s="1"/>
  <c r="BR265" i="2" s="1"/>
  <c r="P265" i="2"/>
  <c r="O265" i="2"/>
  <c r="X265" i="2" s="1"/>
  <c r="J265" i="2"/>
  <c r="I265" i="2"/>
  <c r="Z264" i="2"/>
  <c r="Y264" i="2"/>
  <c r="T264" i="2"/>
  <c r="S264" i="2"/>
  <c r="V264" i="2" s="1"/>
  <c r="R264" i="2"/>
  <c r="Q264" i="2"/>
  <c r="W264" i="2" s="1"/>
  <c r="P264" i="2"/>
  <c r="O264" i="2"/>
  <c r="X264" i="2" s="1"/>
  <c r="J264" i="2"/>
  <c r="I264" i="2"/>
  <c r="G264" i="2"/>
  <c r="BM263" i="2"/>
  <c r="M121" i="3" s="1"/>
  <c r="M148" i="3" s="1"/>
  <c r="BL263" i="2"/>
  <c r="BK263" i="2"/>
  <c r="BJ263" i="2"/>
  <c r="BI263" i="2"/>
  <c r="BH263" i="2"/>
  <c r="BG263" i="2"/>
  <c r="BF263" i="2"/>
  <c r="BE263" i="2"/>
  <c r="BD263" i="2"/>
  <c r="BC263" i="2"/>
  <c r="BB263" i="2"/>
  <c r="BA263" i="2"/>
  <c r="AZ263" i="2"/>
  <c r="AY263" i="2"/>
  <c r="AX263" i="2"/>
  <c r="AW263" i="2"/>
  <c r="AV263" i="2"/>
  <c r="AU263" i="2"/>
  <c r="AT263" i="2"/>
  <c r="AS263" i="2"/>
  <c r="AR263" i="2"/>
  <c r="AQ263" i="2"/>
  <c r="AP263" i="2"/>
  <c r="AO263" i="2"/>
  <c r="AN263" i="2"/>
  <c r="AM263" i="2"/>
  <c r="AL263" i="2"/>
  <c r="AK263" i="2"/>
  <c r="AJ263" i="2"/>
  <c r="AI263" i="2"/>
  <c r="AH263" i="2"/>
  <c r="AG263" i="2"/>
  <c r="AF263" i="2"/>
  <c r="AE263" i="2"/>
  <c r="AD263" i="2"/>
  <c r="AC263" i="2"/>
  <c r="AB263" i="2"/>
  <c r="AA263" i="2"/>
  <c r="Y263" i="2"/>
  <c r="S263" i="2"/>
  <c r="R263" i="2"/>
  <c r="R259" i="2" s="1"/>
  <c r="Q263" i="2"/>
  <c r="Z263" i="2" s="1"/>
  <c r="P263" i="2"/>
  <c r="N263" i="2"/>
  <c r="O727" i="2" s="1"/>
  <c r="M263" i="2"/>
  <c r="L263" i="2"/>
  <c r="K263" i="2"/>
  <c r="H263" i="2"/>
  <c r="G263" i="2"/>
  <c r="J263" i="2" s="1"/>
  <c r="F263" i="2"/>
  <c r="E263" i="2"/>
  <c r="Z262" i="2"/>
  <c r="Y262" i="2"/>
  <c r="T262" i="2"/>
  <c r="T260" i="2" s="1"/>
  <c r="S262" i="2"/>
  <c r="V262" i="2" s="1"/>
  <c r="BT262" i="2" s="1"/>
  <c r="R262" i="2"/>
  <c r="Q262" i="2"/>
  <c r="W262" i="2" s="1"/>
  <c r="BR262" i="2" s="1"/>
  <c r="P262" i="2"/>
  <c r="O262" i="2"/>
  <c r="X262" i="2" s="1"/>
  <c r="J262" i="2"/>
  <c r="I262" i="2"/>
  <c r="G262" i="2"/>
  <c r="BT261" i="2"/>
  <c r="BT260" i="2" s="1"/>
  <c r="BO261" i="2"/>
  <c r="BN261" i="2"/>
  <c r="Z261" i="2"/>
  <c r="V261" i="2"/>
  <c r="V260" i="2" s="1"/>
  <c r="T261" i="2"/>
  <c r="S261" i="2"/>
  <c r="R261" i="2"/>
  <c r="Q261" i="2"/>
  <c r="Q260" i="2" s="1"/>
  <c r="P261" i="2"/>
  <c r="Y261" i="2" s="1"/>
  <c r="O261" i="2"/>
  <c r="J261" i="2"/>
  <c r="G261" i="2"/>
  <c r="I261" i="2" s="1"/>
  <c r="BM260" i="2"/>
  <c r="BL260" i="2"/>
  <c r="BK260" i="2"/>
  <c r="BJ260" i="2"/>
  <c r="BI260" i="2"/>
  <c r="BH260" i="2"/>
  <c r="BG260" i="2"/>
  <c r="BF260" i="2"/>
  <c r="BE260" i="2"/>
  <c r="BD260" i="2"/>
  <c r="BC260" i="2"/>
  <c r="BB260" i="2"/>
  <c r="BA260" i="2"/>
  <c r="AZ260" i="2"/>
  <c r="AY260" i="2"/>
  <c r="AX260" i="2"/>
  <c r="AW260" i="2"/>
  <c r="AV260" i="2"/>
  <c r="AU260" i="2"/>
  <c r="AT260" i="2"/>
  <c r="AS260" i="2"/>
  <c r="AR260" i="2"/>
  <c r="AQ260" i="2"/>
  <c r="AP260" i="2"/>
  <c r="AO260" i="2"/>
  <c r="AN260" i="2"/>
  <c r="AM260" i="2"/>
  <c r="AL260" i="2"/>
  <c r="AK260" i="2"/>
  <c r="AJ260" i="2"/>
  <c r="AI260" i="2"/>
  <c r="AH260" i="2"/>
  <c r="AG260" i="2"/>
  <c r="AF260" i="2"/>
  <c r="AE260" i="2"/>
  <c r="AD260" i="2"/>
  <c r="AC260" i="2"/>
  <c r="AB260" i="2"/>
  <c r="AA260" i="2"/>
  <c r="S260" i="2"/>
  <c r="S259" i="2" s="1"/>
  <c r="R260" i="2"/>
  <c r="N260" i="2"/>
  <c r="M260" i="2"/>
  <c r="L260" i="2"/>
  <c r="K260" i="2"/>
  <c r="H260" i="2"/>
  <c r="H259" i="2" s="1"/>
  <c r="G260" i="2"/>
  <c r="F260" i="2"/>
  <c r="E260" i="2"/>
  <c r="BM259" i="2"/>
  <c r="BL259" i="2"/>
  <c r="BG259" i="2"/>
  <c r="BF259" i="2"/>
  <c r="BA259" i="2"/>
  <c r="AZ259" i="2"/>
  <c r="AU259" i="2"/>
  <c r="AT259" i="2"/>
  <c r="AO259" i="2"/>
  <c r="AN259" i="2"/>
  <c r="AI259" i="2"/>
  <c r="AH259" i="2"/>
  <c r="AC259" i="2"/>
  <c r="AB259" i="2"/>
  <c r="K259" i="2"/>
  <c r="F259" i="2"/>
  <c r="E259" i="2"/>
  <c r="Z258" i="2"/>
  <c r="Y258" i="2"/>
  <c r="T258" i="2"/>
  <c r="T255" i="2" s="1"/>
  <c r="S258" i="2"/>
  <c r="V258" i="2" s="1"/>
  <c r="BT258" i="2" s="1"/>
  <c r="R258" i="2"/>
  <c r="Q258" i="2"/>
  <c r="W258" i="2" s="1"/>
  <c r="BR258" i="2" s="1"/>
  <c r="P258" i="2"/>
  <c r="O258" i="2"/>
  <c r="X258" i="2" s="1"/>
  <c r="J258" i="2"/>
  <c r="I258" i="2"/>
  <c r="G258" i="2"/>
  <c r="BT257" i="2"/>
  <c r="BO257" i="2"/>
  <c r="Z257" i="2"/>
  <c r="V257" i="2"/>
  <c r="T257" i="2"/>
  <c r="S257" i="2"/>
  <c r="R257" i="2"/>
  <c r="Q257" i="2"/>
  <c r="W257" i="2" s="1"/>
  <c r="BR257" i="2" s="1"/>
  <c r="P257" i="2"/>
  <c r="Y257" i="2" s="1"/>
  <c r="O257" i="2"/>
  <c r="J257" i="2"/>
  <c r="G257" i="2"/>
  <c r="I257" i="2" s="1"/>
  <c r="BO256" i="2"/>
  <c r="V256" i="2"/>
  <c r="T256" i="2"/>
  <c r="S256" i="2"/>
  <c r="R256" i="2"/>
  <c r="Q256" i="2"/>
  <c r="Z256" i="2" s="1"/>
  <c r="P256" i="2"/>
  <c r="O256" i="2"/>
  <c r="X256" i="2" s="1"/>
  <c r="G256" i="2"/>
  <c r="J256" i="2" s="1"/>
  <c r="BM255" i="2"/>
  <c r="BL255" i="2"/>
  <c r="BK255" i="2"/>
  <c r="BJ255" i="2"/>
  <c r="BI255" i="2"/>
  <c r="BH255" i="2"/>
  <c r="BG255" i="2"/>
  <c r="BF255" i="2"/>
  <c r="BE255" i="2"/>
  <c r="BD255" i="2"/>
  <c r="BC255" i="2"/>
  <c r="BB255" i="2"/>
  <c r="BA255" i="2"/>
  <c r="AZ255" i="2"/>
  <c r="AY255" i="2"/>
  <c r="AX255" i="2"/>
  <c r="AW255" i="2"/>
  <c r="AV255" i="2"/>
  <c r="AU255" i="2"/>
  <c r="AT255" i="2"/>
  <c r="AS255" i="2"/>
  <c r="AR255" i="2"/>
  <c r="AQ255" i="2"/>
  <c r="AP255" i="2"/>
  <c r="AO255" i="2"/>
  <c r="AN255" i="2"/>
  <c r="AM255" i="2"/>
  <c r="AL255" i="2"/>
  <c r="AK255" i="2"/>
  <c r="AJ255" i="2"/>
  <c r="AI255" i="2"/>
  <c r="AH255" i="2"/>
  <c r="AG255" i="2"/>
  <c r="AF255" i="2"/>
  <c r="AE255" i="2"/>
  <c r="AD255" i="2"/>
  <c r="AC255" i="2"/>
  <c r="AB255" i="2"/>
  <c r="AA255" i="2"/>
  <c r="S255" i="2"/>
  <c r="R255" i="2"/>
  <c r="N255" i="2"/>
  <c r="M255" i="2"/>
  <c r="L255" i="2"/>
  <c r="K255" i="2"/>
  <c r="I255" i="2"/>
  <c r="H255" i="2"/>
  <c r="G255" i="2"/>
  <c r="J255" i="2" s="1"/>
  <c r="F255" i="2"/>
  <c r="E255" i="2"/>
  <c r="W254" i="2"/>
  <c r="V254" i="2"/>
  <c r="BT254" i="2" s="1"/>
  <c r="BT253" i="2" s="1"/>
  <c r="T254" i="2"/>
  <c r="S254" i="2"/>
  <c r="R254" i="2"/>
  <c r="Q254" i="2"/>
  <c r="P254" i="2"/>
  <c r="Y254" i="2" s="1"/>
  <c r="O254" i="2"/>
  <c r="X254" i="2" s="1"/>
  <c r="F254" i="2"/>
  <c r="BM253" i="2"/>
  <c r="BL253" i="2"/>
  <c r="BK253" i="2"/>
  <c r="BK246" i="2" s="1"/>
  <c r="BJ253" i="2"/>
  <c r="BI253" i="2"/>
  <c r="BH253" i="2"/>
  <c r="BG253" i="2"/>
  <c r="BF253" i="2"/>
  <c r="BE253" i="2"/>
  <c r="BE246" i="2" s="1"/>
  <c r="BD253" i="2"/>
  <c r="BC253" i="2"/>
  <c r="BB253" i="2"/>
  <c r="BA253" i="2"/>
  <c r="AZ253" i="2"/>
  <c r="AY253" i="2"/>
  <c r="AX253" i="2"/>
  <c r="AW253" i="2"/>
  <c r="AV253" i="2"/>
  <c r="AU253" i="2"/>
  <c r="AT253" i="2"/>
  <c r="AS253" i="2"/>
  <c r="AR253" i="2"/>
  <c r="AQ253" i="2"/>
  <c r="AP253" i="2"/>
  <c r="AO253" i="2"/>
  <c r="AN253" i="2"/>
  <c r="AM253" i="2"/>
  <c r="AL253" i="2"/>
  <c r="AK253" i="2"/>
  <c r="AJ253" i="2"/>
  <c r="AI253" i="2"/>
  <c r="AH253" i="2"/>
  <c r="AG253" i="2"/>
  <c r="AF253" i="2"/>
  <c r="AE253" i="2"/>
  <c r="AD253" i="2"/>
  <c r="AC253" i="2"/>
  <c r="AB253" i="2"/>
  <c r="AA253" i="2"/>
  <c r="V253" i="2"/>
  <c r="T253" i="2"/>
  <c r="S253" i="2"/>
  <c r="R253" i="2"/>
  <c r="P253" i="2"/>
  <c r="Y253" i="2" s="1"/>
  <c r="O253" i="2"/>
  <c r="X253" i="2" s="1"/>
  <c r="N253" i="2"/>
  <c r="M253" i="2"/>
  <c r="L253" i="2"/>
  <c r="K253" i="2"/>
  <c r="H253" i="2"/>
  <c r="E253" i="2"/>
  <c r="X252" i="2"/>
  <c r="V252" i="2"/>
  <c r="BT252" i="2" s="1"/>
  <c r="T252" i="2"/>
  <c r="S252" i="2"/>
  <c r="R252" i="2"/>
  <c r="Q252" i="2"/>
  <c r="P252" i="2"/>
  <c r="Y252" i="2" s="1"/>
  <c r="O252" i="2"/>
  <c r="BN252" i="2" s="1"/>
  <c r="G252" i="2"/>
  <c r="Y251" i="2"/>
  <c r="X251" i="2"/>
  <c r="W251" i="2"/>
  <c r="T251" i="2"/>
  <c r="S251" i="2"/>
  <c r="V251" i="2" s="1"/>
  <c r="BT251" i="2" s="1"/>
  <c r="R251" i="2"/>
  <c r="Q251" i="2"/>
  <c r="P251" i="2"/>
  <c r="O251" i="2"/>
  <c r="BN251" i="2" s="1"/>
  <c r="I251" i="2"/>
  <c r="G251" i="2"/>
  <c r="J251" i="2" s="1"/>
  <c r="BR250" i="2"/>
  <c r="Z250" i="2"/>
  <c r="Y250" i="2"/>
  <c r="X250" i="2"/>
  <c r="T250" i="2"/>
  <c r="T249" i="2" s="1"/>
  <c r="S250" i="2"/>
  <c r="R250" i="2"/>
  <c r="R249" i="2" s="1"/>
  <c r="Q250" i="2"/>
  <c r="W250" i="2" s="1"/>
  <c r="P250" i="2"/>
  <c r="O250" i="2"/>
  <c r="BN250" i="2" s="1"/>
  <c r="G250" i="2"/>
  <c r="BM249" i="2"/>
  <c r="BL249" i="2"/>
  <c r="BL246" i="2" s="1"/>
  <c r="BK249" i="2"/>
  <c r="BJ249" i="2"/>
  <c r="BI249" i="2"/>
  <c r="BH249" i="2"/>
  <c r="BG249" i="2"/>
  <c r="BF249" i="2"/>
  <c r="BF246" i="2" s="1"/>
  <c r="BE249" i="2"/>
  <c r="BD249" i="2"/>
  <c r="BC249" i="2"/>
  <c r="BB249" i="2"/>
  <c r="BA249" i="2"/>
  <c r="AZ249" i="2"/>
  <c r="AZ246" i="2" s="1"/>
  <c r="AY249" i="2"/>
  <c r="AX249" i="2"/>
  <c r="AW249" i="2"/>
  <c r="AV249" i="2"/>
  <c r="AU249" i="2"/>
  <c r="AT249" i="2"/>
  <c r="AT246" i="2" s="1"/>
  <c r="AS249" i="2"/>
  <c r="AR249" i="2"/>
  <c r="AQ249" i="2"/>
  <c r="AP249" i="2"/>
  <c r="AO249" i="2"/>
  <c r="AN249" i="2"/>
  <c r="AN246" i="2" s="1"/>
  <c r="AM249" i="2"/>
  <c r="AL249" i="2"/>
  <c r="AK249" i="2"/>
  <c r="AJ249" i="2"/>
  <c r="AI249" i="2"/>
  <c r="AH249" i="2"/>
  <c r="AH246" i="2" s="1"/>
  <c r="AG249" i="2"/>
  <c r="AF249" i="2"/>
  <c r="AE249" i="2"/>
  <c r="AD249" i="2"/>
  <c r="AC249" i="2"/>
  <c r="AB249" i="2"/>
  <c r="AB246" i="2" s="1"/>
  <c r="AA249" i="2"/>
  <c r="X249" i="2"/>
  <c r="Q249" i="2"/>
  <c r="Z249" i="2" s="1"/>
  <c r="P249" i="2"/>
  <c r="Y249" i="2" s="1"/>
  <c r="O249" i="2"/>
  <c r="N249" i="2"/>
  <c r="M249" i="2"/>
  <c r="L249" i="2"/>
  <c r="K249" i="2"/>
  <c r="K246" i="2" s="1"/>
  <c r="H249" i="2"/>
  <c r="F249" i="2"/>
  <c r="E249" i="2"/>
  <c r="BN248" i="2"/>
  <c r="BP248" i="2" s="1"/>
  <c r="Y248" i="2"/>
  <c r="W248" i="2"/>
  <c r="BR248" i="2" s="1"/>
  <c r="BR247" i="2" s="1"/>
  <c r="T248" i="2"/>
  <c r="T247" i="2" s="1"/>
  <c r="S248" i="2"/>
  <c r="V248" i="2" s="1"/>
  <c r="BT248" i="2" s="1"/>
  <c r="BT247" i="2" s="1"/>
  <c r="R248" i="2"/>
  <c r="Q248" i="2"/>
  <c r="BO248" i="2" s="1"/>
  <c r="P248" i="2"/>
  <c r="O248" i="2"/>
  <c r="X248" i="2" s="1"/>
  <c r="J248" i="2"/>
  <c r="I248" i="2"/>
  <c r="G248" i="2"/>
  <c r="BO247" i="2"/>
  <c r="BM247" i="2"/>
  <c r="BL247" i="2"/>
  <c r="BK247" i="2"/>
  <c r="BJ247" i="2"/>
  <c r="BJ246" i="2" s="1"/>
  <c r="BI247" i="2"/>
  <c r="BI246" i="2" s="1"/>
  <c r="BH247" i="2"/>
  <c r="BH246" i="2" s="1"/>
  <c r="BG247" i="2"/>
  <c r="BF247" i="2"/>
  <c r="BE247" i="2"/>
  <c r="BD247" i="2"/>
  <c r="BD246" i="2" s="1"/>
  <c r="BC247" i="2"/>
  <c r="BC246" i="2" s="1"/>
  <c r="BB247" i="2"/>
  <c r="BB246" i="2" s="1"/>
  <c r="BA247" i="2"/>
  <c r="AZ247" i="2"/>
  <c r="AY247" i="2"/>
  <c r="AY246" i="2" s="1"/>
  <c r="AX247" i="2"/>
  <c r="AX246" i="2" s="1"/>
  <c r="AW247" i="2"/>
  <c r="AW246" i="2" s="1"/>
  <c r="AV247" i="2"/>
  <c r="AV246" i="2" s="1"/>
  <c r="AU247" i="2"/>
  <c r="AT247" i="2"/>
  <c r="AS247" i="2"/>
  <c r="AS246" i="2" s="1"/>
  <c r="AR247" i="2"/>
  <c r="AR246" i="2" s="1"/>
  <c r="AQ247" i="2"/>
  <c r="AQ246" i="2" s="1"/>
  <c r="AP247" i="2"/>
  <c r="AP246" i="2" s="1"/>
  <c r="AO247" i="2"/>
  <c r="AN247" i="2"/>
  <c r="AM247" i="2"/>
  <c r="AM246" i="2" s="1"/>
  <c r="AL247" i="2"/>
  <c r="AL246" i="2" s="1"/>
  <c r="AK247" i="2"/>
  <c r="AK246" i="2" s="1"/>
  <c r="AJ247" i="2"/>
  <c r="AJ246" i="2" s="1"/>
  <c r="AI247" i="2"/>
  <c r="AH247" i="2"/>
  <c r="AG247" i="2"/>
  <c r="AG246" i="2" s="1"/>
  <c r="AF247" i="2"/>
  <c r="AF246" i="2" s="1"/>
  <c r="AE247" i="2"/>
  <c r="AE246" i="2" s="1"/>
  <c r="AD247" i="2"/>
  <c r="AD246" i="2" s="1"/>
  <c r="AC247" i="2"/>
  <c r="AB247" i="2"/>
  <c r="AA247" i="2"/>
  <c r="AA246" i="2" s="1"/>
  <c r="Z247" i="2"/>
  <c r="Y247" i="2"/>
  <c r="V247" i="2"/>
  <c r="S247" i="2"/>
  <c r="R247" i="2"/>
  <c r="R246" i="2" s="1"/>
  <c r="Q247" i="2"/>
  <c r="P247" i="2"/>
  <c r="N247" i="2"/>
  <c r="N246" i="2" s="1"/>
  <c r="M247" i="2"/>
  <c r="M246" i="2" s="1"/>
  <c r="L247" i="2"/>
  <c r="L246" i="2" s="1"/>
  <c r="K247" i="2"/>
  <c r="H247" i="2"/>
  <c r="H246" i="2" s="1"/>
  <c r="G247" i="2"/>
  <c r="F247" i="2"/>
  <c r="E247" i="2"/>
  <c r="BM246" i="2"/>
  <c r="BG246" i="2"/>
  <c r="BA246" i="2"/>
  <c r="AU246" i="2"/>
  <c r="AO246" i="2"/>
  <c r="AI246" i="2"/>
  <c r="AC246" i="2"/>
  <c r="E246" i="2"/>
  <c r="BO245" i="2"/>
  <c r="Z245" i="2"/>
  <c r="Y245" i="2"/>
  <c r="T245" i="2"/>
  <c r="S245" i="2"/>
  <c r="V245" i="2" s="1"/>
  <c r="BT245" i="2" s="1"/>
  <c r="R245" i="2"/>
  <c r="Q245" i="2"/>
  <c r="W245" i="2" s="1"/>
  <c r="BR245" i="2" s="1"/>
  <c r="P245" i="2"/>
  <c r="O245" i="2"/>
  <c r="BN245" i="2" s="1"/>
  <c r="BP245" i="2" s="1"/>
  <c r="J245" i="2"/>
  <c r="I245" i="2"/>
  <c r="G245" i="2"/>
  <c r="E245" i="2"/>
  <c r="BT244" i="2"/>
  <c r="BO244" i="2"/>
  <c r="BN244" i="2"/>
  <c r="BP244" i="2" s="1"/>
  <c r="BH244" i="2"/>
  <c r="BE244" i="2"/>
  <c r="BB244" i="2"/>
  <c r="AY244" i="2"/>
  <c r="AY237" i="2" s="1"/>
  <c r="AV244" i="2"/>
  <c r="Z244" i="2"/>
  <c r="V244" i="2"/>
  <c r="T244" i="2"/>
  <c r="S244" i="2"/>
  <c r="R244" i="2"/>
  <c r="Q244" i="2"/>
  <c r="W244" i="2" s="1"/>
  <c r="BR244" i="2" s="1"/>
  <c r="P244" i="2"/>
  <c r="Y244" i="2" s="1"/>
  <c r="O244" i="2"/>
  <c r="K244" i="2"/>
  <c r="U244" i="2" s="1"/>
  <c r="BQ244" i="2" s="1"/>
  <c r="J244" i="2"/>
  <c r="G244" i="2"/>
  <c r="I244" i="2" s="1"/>
  <c r="BO243" i="2"/>
  <c r="AJ243" i="2"/>
  <c r="AE243" i="2"/>
  <c r="P243" i="2" s="1"/>
  <c r="Y243" i="2" s="1"/>
  <c r="Z243" i="2"/>
  <c r="X243" i="2"/>
  <c r="T243" i="2"/>
  <c r="S243" i="2"/>
  <c r="V243" i="2" s="1"/>
  <c r="BT243" i="2" s="1"/>
  <c r="R243" i="2"/>
  <c r="Q243" i="2"/>
  <c r="W243" i="2" s="1"/>
  <c r="BR243" i="2" s="1"/>
  <c r="O243" i="2"/>
  <c r="U243" i="2" s="1"/>
  <c r="BQ243" i="2" s="1"/>
  <c r="BS243" i="2" s="1"/>
  <c r="BV243" i="2" s="1"/>
  <c r="G243" i="2"/>
  <c r="BR242" i="2"/>
  <c r="BO242" i="2"/>
  <c r="Z242" i="2"/>
  <c r="Y242" i="2"/>
  <c r="T242" i="2"/>
  <c r="S242" i="2"/>
  <c r="V242" i="2" s="1"/>
  <c r="BT242" i="2" s="1"/>
  <c r="R242" i="2"/>
  <c r="Q242" i="2"/>
  <c r="W242" i="2" s="1"/>
  <c r="P242" i="2"/>
  <c r="O242" i="2"/>
  <c r="BN242" i="2" s="1"/>
  <c r="BP242" i="2" s="1"/>
  <c r="J242" i="2"/>
  <c r="I242" i="2"/>
  <c r="G242" i="2"/>
  <c r="BH241" i="2"/>
  <c r="V241" i="2"/>
  <c r="BT241" i="2" s="1"/>
  <c r="T241" i="2"/>
  <c r="S241" i="2"/>
  <c r="R241" i="2"/>
  <c r="Q241" i="2"/>
  <c r="BO241" i="2" s="1"/>
  <c r="P241" i="2"/>
  <c r="Y241" i="2" s="1"/>
  <c r="O241" i="2"/>
  <c r="K241" i="2"/>
  <c r="G241" i="2"/>
  <c r="J241" i="2" s="1"/>
  <c r="BH240" i="2"/>
  <c r="BE240" i="2"/>
  <c r="BE237" i="2" s="1"/>
  <c r="AZ240" i="2"/>
  <c r="AZ237" i="2" s="1"/>
  <c r="Z240" i="2"/>
  <c r="T240" i="2"/>
  <c r="R240" i="2"/>
  <c r="Q240" i="2"/>
  <c r="W240" i="2" s="1"/>
  <c r="BR240" i="2" s="1"/>
  <c r="O240" i="2"/>
  <c r="BN240" i="2" s="1"/>
  <c r="K240" i="2"/>
  <c r="U240" i="2" s="1"/>
  <c r="BQ240" i="2" s="1"/>
  <c r="J240" i="2"/>
  <c r="G240" i="2"/>
  <c r="I240" i="2" s="1"/>
  <c r="BO239" i="2"/>
  <c r="X239" i="2"/>
  <c r="V239" i="2"/>
  <c r="BT239" i="2" s="1"/>
  <c r="T239" i="2"/>
  <c r="S239" i="2"/>
  <c r="R239" i="2"/>
  <c r="Q239" i="2"/>
  <c r="Z239" i="2" s="1"/>
  <c r="P239" i="2"/>
  <c r="O239" i="2"/>
  <c r="BN239" i="2" s="1"/>
  <c r="G239" i="2"/>
  <c r="J239" i="2" s="1"/>
  <c r="AY238" i="2"/>
  <c r="Z238" i="2"/>
  <c r="Y238" i="2"/>
  <c r="X238" i="2"/>
  <c r="T238" i="2"/>
  <c r="S238" i="2"/>
  <c r="R238" i="2"/>
  <c r="Q238" i="2"/>
  <c r="BO238" i="2" s="1"/>
  <c r="P238" i="2"/>
  <c r="O238" i="2"/>
  <c r="BN238" i="2" s="1"/>
  <c r="M238" i="2"/>
  <c r="V238" i="2" s="1"/>
  <c r="K238" i="2"/>
  <c r="U238" i="2" s="1"/>
  <c r="J238" i="2"/>
  <c r="I238" i="2"/>
  <c r="G238" i="2"/>
  <c r="BM237" i="2"/>
  <c r="BL237" i="2"/>
  <c r="BK237" i="2"/>
  <c r="BJ237" i="2"/>
  <c r="BI237" i="2"/>
  <c r="BH237" i="2"/>
  <c r="BG237" i="2"/>
  <c r="BF237" i="2"/>
  <c r="BD237" i="2"/>
  <c r="BC237" i="2"/>
  <c r="BB237" i="2"/>
  <c r="BA237" i="2"/>
  <c r="AX237" i="2"/>
  <c r="AW237" i="2"/>
  <c r="AV237" i="2"/>
  <c r="AU237" i="2"/>
  <c r="AT237" i="2"/>
  <c r="AS237" i="2"/>
  <c r="AR237" i="2"/>
  <c r="AQ237" i="2"/>
  <c r="AP237" i="2"/>
  <c r="AO237" i="2"/>
  <c r="AN237" i="2"/>
  <c r="AM237" i="2"/>
  <c r="AL237" i="2"/>
  <c r="AK237" i="2"/>
  <c r="AJ237" i="2"/>
  <c r="AI237" i="2"/>
  <c r="AH237" i="2"/>
  <c r="AG237" i="2"/>
  <c r="AF237" i="2"/>
  <c r="AE237" i="2"/>
  <c r="AD237" i="2"/>
  <c r="AC237" i="2"/>
  <c r="AB237" i="2"/>
  <c r="AA237" i="2"/>
  <c r="R237" i="2"/>
  <c r="N237" i="2"/>
  <c r="M237" i="2"/>
  <c r="L237" i="2"/>
  <c r="H237" i="2"/>
  <c r="F237" i="2"/>
  <c r="E237" i="2"/>
  <c r="BT236" i="2"/>
  <c r="BO236" i="2"/>
  <c r="Z236" i="2"/>
  <c r="V236" i="2"/>
  <c r="T236" i="2"/>
  <c r="S236" i="2"/>
  <c r="R236" i="2"/>
  <c r="Q236" i="2"/>
  <c r="W236" i="2" s="1"/>
  <c r="BR236" i="2" s="1"/>
  <c r="P236" i="2"/>
  <c r="Y236" i="2" s="1"/>
  <c r="O236" i="2"/>
  <c r="X236" i="2" s="1"/>
  <c r="J236" i="2"/>
  <c r="I236" i="2"/>
  <c r="G236" i="2"/>
  <c r="BT235" i="2"/>
  <c r="BO235" i="2"/>
  <c r="V235" i="2"/>
  <c r="T235" i="2"/>
  <c r="S235" i="2"/>
  <c r="R235" i="2"/>
  <c r="Q235" i="2"/>
  <c r="W235" i="2" s="1"/>
  <c r="BR235" i="2" s="1"/>
  <c r="P235" i="2"/>
  <c r="Y235" i="2" s="1"/>
  <c r="O235" i="2"/>
  <c r="X235" i="2" s="1"/>
  <c r="G235" i="2"/>
  <c r="I235" i="2" s="1"/>
  <c r="BU234" i="2"/>
  <c r="BO234" i="2"/>
  <c r="X234" i="2"/>
  <c r="V234" i="2"/>
  <c r="BT234" i="2" s="1"/>
  <c r="T234" i="2"/>
  <c r="S234" i="2"/>
  <c r="R234" i="2"/>
  <c r="Q234" i="2"/>
  <c r="Z234" i="2" s="1"/>
  <c r="P234" i="2"/>
  <c r="Y234" i="2" s="1"/>
  <c r="O234" i="2"/>
  <c r="BN234" i="2" s="1"/>
  <c r="BP234" i="2" s="1"/>
  <c r="K234" i="2"/>
  <c r="G234" i="2"/>
  <c r="J234" i="2" s="1"/>
  <c r="BH233" i="2"/>
  <c r="Z233" i="2"/>
  <c r="Y233" i="2"/>
  <c r="T233" i="2"/>
  <c r="S233" i="2"/>
  <c r="V233" i="2" s="1"/>
  <c r="BT233" i="2" s="1"/>
  <c r="R233" i="2"/>
  <c r="Q233" i="2"/>
  <c r="BO233" i="2" s="1"/>
  <c r="P233" i="2"/>
  <c r="O233" i="2"/>
  <c r="BN233" i="2" s="1"/>
  <c r="BP233" i="2" s="1"/>
  <c r="BU233" i="2" s="1"/>
  <c r="K233" i="2"/>
  <c r="U233" i="2" s="1"/>
  <c r="BQ233" i="2" s="1"/>
  <c r="J233" i="2"/>
  <c r="I233" i="2"/>
  <c r="G233" i="2"/>
  <c r="BT232" i="2"/>
  <c r="BO232" i="2"/>
  <c r="BN232" i="2"/>
  <c r="BP232" i="2" s="1"/>
  <c r="V232" i="2"/>
  <c r="T232" i="2"/>
  <c r="S232" i="2"/>
  <c r="R232" i="2"/>
  <c r="Q232" i="2"/>
  <c r="W232" i="2" s="1"/>
  <c r="BR232" i="2" s="1"/>
  <c r="P232" i="2"/>
  <c r="Y232" i="2" s="1"/>
  <c r="O232" i="2"/>
  <c r="X232" i="2" s="1"/>
  <c r="J232" i="2"/>
  <c r="G232" i="2"/>
  <c r="I232" i="2" s="1"/>
  <c r="BO231" i="2"/>
  <c r="X231" i="2"/>
  <c r="V231" i="2"/>
  <c r="BT231" i="2" s="1"/>
  <c r="T231" i="2"/>
  <c r="S231" i="2"/>
  <c r="R231" i="2"/>
  <c r="Q231" i="2"/>
  <c r="Z231" i="2" s="1"/>
  <c r="P231" i="2"/>
  <c r="O231" i="2"/>
  <c r="BN231" i="2" s="1"/>
  <c r="G231" i="2"/>
  <c r="J231" i="2" s="1"/>
  <c r="Y230" i="2"/>
  <c r="X230" i="2"/>
  <c r="T230" i="2"/>
  <c r="S230" i="2"/>
  <c r="V230" i="2" s="1"/>
  <c r="BT230" i="2" s="1"/>
  <c r="R230" i="2"/>
  <c r="Q230" i="2"/>
  <c r="P230" i="2"/>
  <c r="O230" i="2"/>
  <c r="BN230" i="2" s="1"/>
  <c r="G230" i="2"/>
  <c r="J230" i="2" s="1"/>
  <c r="Z229" i="2"/>
  <c r="Y229" i="2"/>
  <c r="X229" i="2"/>
  <c r="T229" i="2"/>
  <c r="S229" i="2"/>
  <c r="V229" i="2" s="1"/>
  <c r="BT229" i="2" s="1"/>
  <c r="R229" i="2"/>
  <c r="Q229" i="2"/>
  <c r="BO229" i="2" s="1"/>
  <c r="P229" i="2"/>
  <c r="O229" i="2"/>
  <c r="BN229" i="2" s="1"/>
  <c r="G229" i="2"/>
  <c r="BO228" i="2"/>
  <c r="Z228" i="2"/>
  <c r="Y228" i="2"/>
  <c r="T228" i="2"/>
  <c r="S228" i="2"/>
  <c r="V228" i="2" s="1"/>
  <c r="BT228" i="2" s="1"/>
  <c r="R228" i="2"/>
  <c r="Q228" i="2"/>
  <c r="W228" i="2" s="1"/>
  <c r="BR228" i="2" s="1"/>
  <c r="P228" i="2"/>
  <c r="O228" i="2"/>
  <c r="BN228" i="2" s="1"/>
  <c r="BP228" i="2" s="1"/>
  <c r="J228" i="2"/>
  <c r="I228" i="2"/>
  <c r="G228" i="2"/>
  <c r="BT227" i="2"/>
  <c r="BO227" i="2"/>
  <c r="Z227" i="2"/>
  <c r="V227" i="2"/>
  <c r="T227" i="2"/>
  <c r="S227" i="2"/>
  <c r="R227" i="2"/>
  <c r="Q227" i="2"/>
  <c r="W227" i="2" s="1"/>
  <c r="BR227" i="2" s="1"/>
  <c r="P227" i="2"/>
  <c r="Y227" i="2" s="1"/>
  <c r="O227" i="2"/>
  <c r="X227" i="2" s="1"/>
  <c r="J227" i="2"/>
  <c r="I227" i="2"/>
  <c r="G227" i="2"/>
  <c r="BT226" i="2"/>
  <c r="BO226" i="2"/>
  <c r="V226" i="2"/>
  <c r="T226" i="2"/>
  <c r="S226" i="2"/>
  <c r="R226" i="2"/>
  <c r="Q226" i="2"/>
  <c r="W226" i="2" s="1"/>
  <c r="BR226" i="2" s="1"/>
  <c r="P226" i="2"/>
  <c r="Y226" i="2" s="1"/>
  <c r="O226" i="2"/>
  <c r="X226" i="2" s="1"/>
  <c r="J226" i="2"/>
  <c r="G226" i="2"/>
  <c r="I226" i="2" s="1"/>
  <c r="BO225" i="2"/>
  <c r="X225" i="2"/>
  <c r="V225" i="2"/>
  <c r="BT225" i="2" s="1"/>
  <c r="T225" i="2"/>
  <c r="S225" i="2"/>
  <c r="R225" i="2"/>
  <c r="Q225" i="2"/>
  <c r="Z225" i="2" s="1"/>
  <c r="P225" i="2"/>
  <c r="Y225" i="2" s="1"/>
  <c r="O225" i="2"/>
  <c r="BN225" i="2" s="1"/>
  <c r="BP225" i="2" s="1"/>
  <c r="K225" i="2"/>
  <c r="G225" i="2"/>
  <c r="J225" i="2" s="1"/>
  <c r="Z224" i="2"/>
  <c r="Y224" i="2"/>
  <c r="X224" i="2"/>
  <c r="T224" i="2"/>
  <c r="S224" i="2"/>
  <c r="V224" i="2" s="1"/>
  <c r="BT224" i="2" s="1"/>
  <c r="R224" i="2"/>
  <c r="Q224" i="2"/>
  <c r="BO224" i="2" s="1"/>
  <c r="P224" i="2"/>
  <c r="O224" i="2"/>
  <c r="BN224" i="2" s="1"/>
  <c r="G224" i="2"/>
  <c r="BO223" i="2"/>
  <c r="Z223" i="2"/>
  <c r="Y223" i="2"/>
  <c r="T223" i="2"/>
  <c r="S223" i="2"/>
  <c r="V223" i="2" s="1"/>
  <c r="BT223" i="2" s="1"/>
  <c r="R223" i="2"/>
  <c r="Q223" i="2"/>
  <c r="W223" i="2" s="1"/>
  <c r="BR223" i="2" s="1"/>
  <c r="P223" i="2"/>
  <c r="O223" i="2"/>
  <c r="BN223" i="2" s="1"/>
  <c r="BP223" i="2" s="1"/>
  <c r="J223" i="2"/>
  <c r="I223" i="2"/>
  <c r="G223" i="2"/>
  <c r="BT222" i="2"/>
  <c r="BO222" i="2"/>
  <c r="Z222" i="2"/>
  <c r="V222" i="2"/>
  <c r="T222" i="2"/>
  <c r="S222" i="2"/>
  <c r="R222" i="2"/>
  <c r="Q222" i="2"/>
  <c r="W222" i="2" s="1"/>
  <c r="BR222" i="2" s="1"/>
  <c r="P222" i="2"/>
  <c r="Y222" i="2" s="1"/>
  <c r="O222" i="2"/>
  <c r="X222" i="2" s="1"/>
  <c r="J222" i="2"/>
  <c r="I222" i="2"/>
  <c r="G222" i="2"/>
  <c r="BT221" i="2"/>
  <c r="BO221" i="2"/>
  <c r="BN221" i="2"/>
  <c r="BP221" i="2" s="1"/>
  <c r="V221" i="2"/>
  <c r="T221" i="2"/>
  <c r="S221" i="2"/>
  <c r="R221" i="2"/>
  <c r="Q221" i="2"/>
  <c r="W221" i="2" s="1"/>
  <c r="BR221" i="2" s="1"/>
  <c r="P221" i="2"/>
  <c r="Y221" i="2" s="1"/>
  <c r="O221" i="2"/>
  <c r="J221" i="2"/>
  <c r="G221" i="2"/>
  <c r="I221" i="2" s="1"/>
  <c r="BO220" i="2"/>
  <c r="X220" i="2"/>
  <c r="V220" i="2"/>
  <c r="BT220" i="2" s="1"/>
  <c r="T220" i="2"/>
  <c r="S220" i="2"/>
  <c r="R220" i="2"/>
  <c r="Q220" i="2"/>
  <c r="Z220" i="2" s="1"/>
  <c r="P220" i="2"/>
  <c r="Y220" i="2" s="1"/>
  <c r="O220" i="2"/>
  <c r="BN220" i="2" s="1"/>
  <c r="G220" i="2"/>
  <c r="J220" i="2" s="1"/>
  <c r="Y219" i="2"/>
  <c r="X219" i="2"/>
  <c r="T219" i="2"/>
  <c r="S219" i="2"/>
  <c r="V219" i="2" s="1"/>
  <c r="BT219" i="2" s="1"/>
  <c r="R219" i="2"/>
  <c r="Q219" i="2"/>
  <c r="P219" i="2"/>
  <c r="O219" i="2"/>
  <c r="BN219" i="2" s="1"/>
  <c r="G219" i="2"/>
  <c r="J219" i="2" s="1"/>
  <c r="Z218" i="2"/>
  <c r="Y218" i="2"/>
  <c r="X218" i="2"/>
  <c r="T218" i="2"/>
  <c r="T217" i="2" s="1"/>
  <c r="S218" i="2"/>
  <c r="V218" i="2" s="1"/>
  <c r="BT218" i="2" s="1"/>
  <c r="R218" i="2"/>
  <c r="Q218" i="2"/>
  <c r="BO218" i="2" s="1"/>
  <c r="P218" i="2"/>
  <c r="O218" i="2"/>
  <c r="BN218" i="2" s="1"/>
  <c r="G218" i="2"/>
  <c r="BM217" i="2"/>
  <c r="BM216" i="2" s="1"/>
  <c r="BL217" i="2"/>
  <c r="BL216" i="2" s="1"/>
  <c r="BK217" i="2"/>
  <c r="BJ217" i="2"/>
  <c r="BI217" i="2"/>
  <c r="BI216" i="2" s="1"/>
  <c r="BH217" i="2"/>
  <c r="BH216" i="2" s="1"/>
  <c r="BG217" i="2"/>
  <c r="BG216" i="2" s="1"/>
  <c r="BF217" i="2"/>
  <c r="BF216" i="2" s="1"/>
  <c r="BE217" i="2"/>
  <c r="BD217" i="2"/>
  <c r="BC217" i="2"/>
  <c r="BC216" i="2" s="1"/>
  <c r="BB217" i="2"/>
  <c r="BA217" i="2"/>
  <c r="BA216" i="2" s="1"/>
  <c r="AZ217" i="2"/>
  <c r="AZ216" i="2" s="1"/>
  <c r="AY217" i="2"/>
  <c r="AX217" i="2"/>
  <c r="AW217" i="2"/>
  <c r="AW216" i="2" s="1"/>
  <c r="AV217" i="2"/>
  <c r="AV216" i="2" s="1"/>
  <c r="AU217" i="2"/>
  <c r="AU216" i="2" s="1"/>
  <c r="AT217" i="2"/>
  <c r="AT216" i="2" s="1"/>
  <c r="AS217" i="2"/>
  <c r="AR217" i="2"/>
  <c r="AQ217" i="2"/>
  <c r="AQ216" i="2" s="1"/>
  <c r="AP217" i="2"/>
  <c r="AP216" i="2" s="1"/>
  <c r="AO217" i="2"/>
  <c r="AO216" i="2" s="1"/>
  <c r="AN217" i="2"/>
  <c r="AN216" i="2" s="1"/>
  <c r="AM217" i="2"/>
  <c r="AL217" i="2"/>
  <c r="AK217" i="2"/>
  <c r="AK216" i="2" s="1"/>
  <c r="AJ217" i="2"/>
  <c r="AJ216" i="2" s="1"/>
  <c r="AI217" i="2"/>
  <c r="AI216" i="2" s="1"/>
  <c r="AH217" i="2"/>
  <c r="AH216" i="2" s="1"/>
  <c r="AG217" i="2"/>
  <c r="AF217" i="2"/>
  <c r="AE217" i="2"/>
  <c r="AE216" i="2" s="1"/>
  <c r="AD217" i="2"/>
  <c r="AD216" i="2" s="1"/>
  <c r="AC217" i="2"/>
  <c r="AC216" i="2" s="1"/>
  <c r="AB217" i="2"/>
  <c r="AB216" i="2" s="1"/>
  <c r="AA217" i="2"/>
  <c r="N217" i="2"/>
  <c r="M217" i="2"/>
  <c r="M216" i="2" s="1"/>
  <c r="L217" i="2"/>
  <c r="L216" i="2" s="1"/>
  <c r="K217" i="2"/>
  <c r="H217" i="2"/>
  <c r="F217" i="2"/>
  <c r="F216" i="2" s="1"/>
  <c r="E217" i="2"/>
  <c r="E216" i="2" s="1"/>
  <c r="BK216" i="2"/>
  <c r="BJ216" i="2"/>
  <c r="BE216" i="2"/>
  <c r="BD216" i="2"/>
  <c r="AY216" i="2"/>
  <c r="AX216" i="2"/>
  <c r="AS216" i="2"/>
  <c r="AR216" i="2"/>
  <c r="AM216" i="2"/>
  <c r="AL216" i="2"/>
  <c r="AG216" i="2"/>
  <c r="AF216" i="2"/>
  <c r="AA216" i="2"/>
  <c r="N216" i="2"/>
  <c r="H216" i="2"/>
  <c r="Y215" i="2"/>
  <c r="X215" i="2"/>
  <c r="W215" i="2"/>
  <c r="BR215" i="2" s="1"/>
  <c r="T215" i="2"/>
  <c r="S215" i="2"/>
  <c r="V215" i="2" s="1"/>
  <c r="BT215" i="2" s="1"/>
  <c r="R215" i="2"/>
  <c r="Q215" i="2"/>
  <c r="P215" i="2"/>
  <c r="O215" i="2"/>
  <c r="BN215" i="2" s="1"/>
  <c r="G215" i="2"/>
  <c r="J215" i="2" s="1"/>
  <c r="Z214" i="2"/>
  <c r="Y214" i="2"/>
  <c r="X214" i="2"/>
  <c r="T214" i="2"/>
  <c r="S214" i="2"/>
  <c r="V214" i="2" s="1"/>
  <c r="BT214" i="2" s="1"/>
  <c r="R214" i="2"/>
  <c r="Q214" i="2"/>
  <c r="BO214" i="2" s="1"/>
  <c r="P214" i="2"/>
  <c r="O214" i="2"/>
  <c r="BN214" i="2" s="1"/>
  <c r="BP214" i="2" s="1"/>
  <c r="G214" i="2"/>
  <c r="Z213" i="2"/>
  <c r="Y213" i="2"/>
  <c r="T213" i="2"/>
  <c r="S213" i="2"/>
  <c r="V213" i="2" s="1"/>
  <c r="BT213" i="2" s="1"/>
  <c r="R213" i="2"/>
  <c r="Q213" i="2"/>
  <c r="W213" i="2" s="1"/>
  <c r="BR213" i="2" s="1"/>
  <c r="P213" i="2"/>
  <c r="O213" i="2"/>
  <c r="BN213" i="2" s="1"/>
  <c r="J213" i="2"/>
  <c r="I213" i="2"/>
  <c r="G213" i="2"/>
  <c r="BT212" i="2"/>
  <c r="BO212" i="2"/>
  <c r="Z212" i="2"/>
  <c r="V212" i="2"/>
  <c r="T212" i="2"/>
  <c r="S212" i="2"/>
  <c r="R212" i="2"/>
  <c r="Q212" i="2"/>
  <c r="W212" i="2" s="1"/>
  <c r="BR212" i="2" s="1"/>
  <c r="P212" i="2"/>
  <c r="Y212" i="2" s="1"/>
  <c r="O212" i="2"/>
  <c r="X212" i="2" s="1"/>
  <c r="J212" i="2"/>
  <c r="I212" i="2"/>
  <c r="G212" i="2"/>
  <c r="BT211" i="2"/>
  <c r="BO211" i="2"/>
  <c r="BN211" i="2"/>
  <c r="V211" i="2"/>
  <c r="T211" i="2"/>
  <c r="S211" i="2"/>
  <c r="R211" i="2"/>
  <c r="Q211" i="2"/>
  <c r="W211" i="2" s="1"/>
  <c r="BR211" i="2" s="1"/>
  <c r="P211" i="2"/>
  <c r="Y211" i="2" s="1"/>
  <c r="O211" i="2"/>
  <c r="J211" i="2"/>
  <c r="G211" i="2"/>
  <c r="I211" i="2" s="1"/>
  <c r="BO210" i="2"/>
  <c r="BN210" i="2"/>
  <c r="BH210" i="2"/>
  <c r="AY210" i="2"/>
  <c r="Z210" i="2"/>
  <c r="Y210" i="2"/>
  <c r="X210" i="2"/>
  <c r="T210" i="2"/>
  <c r="T209" i="2" s="1"/>
  <c r="S210" i="2"/>
  <c r="V210" i="2" s="1"/>
  <c r="R210" i="2"/>
  <c r="R209" i="2" s="1"/>
  <c r="Q210" i="2"/>
  <c r="W210" i="2" s="1"/>
  <c r="BR210" i="2" s="1"/>
  <c r="P210" i="2"/>
  <c r="O210" i="2"/>
  <c r="K210" i="2"/>
  <c r="U210" i="2" s="1"/>
  <c r="J210" i="2"/>
  <c r="I210" i="2"/>
  <c r="G210" i="2"/>
  <c r="BM209" i="2"/>
  <c r="BL209" i="2"/>
  <c r="BK209" i="2"/>
  <c r="BJ209" i="2"/>
  <c r="BI209" i="2"/>
  <c r="BI204" i="2" s="1"/>
  <c r="BH209" i="2"/>
  <c r="BG209" i="2"/>
  <c r="BF209" i="2"/>
  <c r="BE209" i="2"/>
  <c r="BD209" i="2"/>
  <c r="BC209" i="2"/>
  <c r="BC204" i="2" s="1"/>
  <c r="BB209" i="2"/>
  <c r="BA209" i="2"/>
  <c r="AZ209" i="2"/>
  <c r="AY209" i="2"/>
  <c r="AX209" i="2"/>
  <c r="AW209" i="2"/>
  <c r="AW204" i="2" s="1"/>
  <c r="AV209" i="2"/>
  <c r="AU209" i="2"/>
  <c r="AT209" i="2"/>
  <c r="AS209" i="2"/>
  <c r="AR209" i="2"/>
  <c r="AQ209" i="2"/>
  <c r="AQ204" i="2" s="1"/>
  <c r="AP209" i="2"/>
  <c r="AO209" i="2"/>
  <c r="AN209" i="2"/>
  <c r="AM209" i="2"/>
  <c r="AL209" i="2"/>
  <c r="AK209" i="2"/>
  <c r="AK204" i="2" s="1"/>
  <c r="AJ209" i="2"/>
  <c r="AI209" i="2"/>
  <c r="AH209" i="2"/>
  <c r="AG209" i="2"/>
  <c r="AF209" i="2"/>
  <c r="AE209" i="2"/>
  <c r="AE204" i="2" s="1"/>
  <c r="AD209" i="2"/>
  <c r="AC209" i="2"/>
  <c r="AB209" i="2"/>
  <c r="AA209" i="2"/>
  <c r="Q209" i="2"/>
  <c r="Z209" i="2" s="1"/>
  <c r="N209" i="2"/>
  <c r="M209" i="2"/>
  <c r="M204" i="2" s="1"/>
  <c r="L209" i="2"/>
  <c r="K209" i="2"/>
  <c r="H209" i="2"/>
  <c r="F209" i="2"/>
  <c r="E209" i="2"/>
  <c r="Z208" i="2"/>
  <c r="Y208" i="2"/>
  <c r="T208" i="2"/>
  <c r="T207" i="2" s="1"/>
  <c r="S208" i="2"/>
  <c r="R208" i="2"/>
  <c r="Q208" i="2"/>
  <c r="W208" i="2" s="1"/>
  <c r="W207" i="2" s="1"/>
  <c r="P208" i="2"/>
  <c r="O208" i="2"/>
  <c r="BN208" i="2" s="1"/>
  <c r="J208" i="2"/>
  <c r="I208" i="2"/>
  <c r="BM207" i="2"/>
  <c r="BL207" i="2"/>
  <c r="BL739" i="2" s="1"/>
  <c r="BK207" i="2"/>
  <c r="BK739" i="2" s="1"/>
  <c r="BJ207" i="2"/>
  <c r="BJ739" i="2" s="1"/>
  <c r="BI207" i="2"/>
  <c r="BH207" i="2"/>
  <c r="BH739" i="2" s="1"/>
  <c r="BG207" i="2"/>
  <c r="BG739" i="2" s="1"/>
  <c r="BF207" i="2"/>
  <c r="BF739" i="2" s="1"/>
  <c r="BE207" i="2"/>
  <c r="BE739" i="2" s="1"/>
  <c r="BD207" i="2"/>
  <c r="BD739" i="2" s="1"/>
  <c r="BC207" i="2"/>
  <c r="BB207" i="2"/>
  <c r="BB739" i="2" s="1"/>
  <c r="BA207" i="2"/>
  <c r="BA739" i="2" s="1"/>
  <c r="AZ207" i="2"/>
  <c r="AZ739" i="2" s="1"/>
  <c r="AY207" i="2"/>
  <c r="AY739" i="2" s="1"/>
  <c r="AX207" i="2"/>
  <c r="AX739" i="2" s="1"/>
  <c r="AW207" i="2"/>
  <c r="AV207" i="2"/>
  <c r="AV739" i="2" s="1"/>
  <c r="AU207" i="2"/>
  <c r="AU739" i="2" s="1"/>
  <c r="AT207" i="2"/>
  <c r="AT739" i="2" s="1"/>
  <c r="AS207" i="2"/>
  <c r="AS739" i="2" s="1"/>
  <c r="AR207" i="2"/>
  <c r="AR739" i="2" s="1"/>
  <c r="AQ207" i="2"/>
  <c r="AP207" i="2"/>
  <c r="AP739" i="2" s="1"/>
  <c r="AO207" i="2"/>
  <c r="AO739" i="2" s="1"/>
  <c r="AN207" i="2"/>
  <c r="AN739" i="2" s="1"/>
  <c r="AM207" i="2"/>
  <c r="AM739" i="2" s="1"/>
  <c r="AL207" i="2"/>
  <c r="AL739" i="2" s="1"/>
  <c r="AK207" i="2"/>
  <c r="AJ207" i="2"/>
  <c r="AJ739" i="2" s="1"/>
  <c r="AI207" i="2"/>
  <c r="AI739" i="2" s="1"/>
  <c r="AH207" i="2"/>
  <c r="AH739" i="2" s="1"/>
  <c r="AG207" i="2"/>
  <c r="AG739" i="2" s="1"/>
  <c r="AF207" i="2"/>
  <c r="AF739" i="2" s="1"/>
  <c r="AE207" i="2"/>
  <c r="AD207" i="2"/>
  <c r="AD739" i="2" s="1"/>
  <c r="AC207" i="2"/>
  <c r="AC739" i="2" s="1"/>
  <c r="AB207" i="2"/>
  <c r="AB739" i="2" s="1"/>
  <c r="AA207" i="2"/>
  <c r="AA739" i="2" s="1"/>
  <c r="R207" i="2"/>
  <c r="Q207" i="2"/>
  <c r="Z207" i="2" s="1"/>
  <c r="P207" i="2"/>
  <c r="Y207" i="2" s="1"/>
  <c r="N207" i="2"/>
  <c r="M207" i="2"/>
  <c r="L207" i="2"/>
  <c r="K207" i="2"/>
  <c r="J207" i="2"/>
  <c r="I207" i="2"/>
  <c r="H207" i="2"/>
  <c r="G207" i="2"/>
  <c r="F207" i="2"/>
  <c r="E207" i="2"/>
  <c r="Z206" i="2"/>
  <c r="Y206" i="2"/>
  <c r="X206" i="2"/>
  <c r="T206" i="2"/>
  <c r="T205" i="2" s="1"/>
  <c r="T204" i="2" s="1"/>
  <c r="S206" i="2"/>
  <c r="V206" i="2" s="1"/>
  <c r="BT206" i="2" s="1"/>
  <c r="BT205" i="2" s="1"/>
  <c r="R206" i="2"/>
  <c r="R205" i="2" s="1"/>
  <c r="R204" i="2" s="1"/>
  <c r="Q206" i="2"/>
  <c r="BO206" i="2" s="1"/>
  <c r="BO205" i="2" s="1"/>
  <c r="P206" i="2"/>
  <c r="O206" i="2"/>
  <c r="BN206" i="2" s="1"/>
  <c r="G206" i="2"/>
  <c r="BM205" i="2"/>
  <c r="BM204" i="2" s="1"/>
  <c r="BL205" i="2"/>
  <c r="BL204" i="2" s="1"/>
  <c r="BK205" i="2"/>
  <c r="BJ205" i="2"/>
  <c r="BI205" i="2"/>
  <c r="BH205" i="2"/>
  <c r="BH204" i="2" s="1"/>
  <c r="BG205" i="2"/>
  <c r="BG204" i="2" s="1"/>
  <c r="BF205" i="2"/>
  <c r="BF204" i="2" s="1"/>
  <c r="BE205" i="2"/>
  <c r="BD205" i="2"/>
  <c r="BC205" i="2"/>
  <c r="BB205" i="2"/>
  <c r="BB204" i="2" s="1"/>
  <c r="BA205" i="2"/>
  <c r="BA204" i="2" s="1"/>
  <c r="AZ205" i="2"/>
  <c r="AZ204" i="2" s="1"/>
  <c r="AY205" i="2"/>
  <c r="AX205" i="2"/>
  <c r="AW205" i="2"/>
  <c r="AV205" i="2"/>
  <c r="AV204" i="2" s="1"/>
  <c r="AU205" i="2"/>
  <c r="AU204" i="2" s="1"/>
  <c r="AT205" i="2"/>
  <c r="AT204" i="2" s="1"/>
  <c r="AS205" i="2"/>
  <c r="AR205" i="2"/>
  <c r="AQ205" i="2"/>
  <c r="AP205" i="2"/>
  <c r="AP204" i="2" s="1"/>
  <c r="AO205" i="2"/>
  <c r="AO204" i="2" s="1"/>
  <c r="AN205" i="2"/>
  <c r="AN204" i="2" s="1"/>
  <c r="AM205" i="2"/>
  <c r="AL205" i="2"/>
  <c r="AK205" i="2"/>
  <c r="AJ205" i="2"/>
  <c r="AJ204" i="2" s="1"/>
  <c r="AI205" i="2"/>
  <c r="AI204" i="2" s="1"/>
  <c r="AH205" i="2"/>
  <c r="AH204" i="2" s="1"/>
  <c r="AG205" i="2"/>
  <c r="AF205" i="2"/>
  <c r="AE205" i="2"/>
  <c r="AD205" i="2"/>
  <c r="AD204" i="2" s="1"/>
  <c r="AC205" i="2"/>
  <c r="AC204" i="2" s="1"/>
  <c r="AB205" i="2"/>
  <c r="AB204" i="2" s="1"/>
  <c r="AA205" i="2"/>
  <c r="X205" i="2"/>
  <c r="V205" i="2"/>
  <c r="Q205" i="2"/>
  <c r="Z205" i="2" s="1"/>
  <c r="P205" i="2"/>
  <c r="O205" i="2"/>
  <c r="N205" i="2"/>
  <c r="M205" i="2"/>
  <c r="L205" i="2"/>
  <c r="L204" i="2" s="1"/>
  <c r="K205" i="2"/>
  <c r="K204" i="2" s="1"/>
  <c r="H205" i="2"/>
  <c r="F205" i="2"/>
  <c r="F204" i="2" s="1"/>
  <c r="E205" i="2"/>
  <c r="E204" i="2" s="1"/>
  <c r="BK204" i="2"/>
  <c r="BJ204" i="2"/>
  <c r="BE204" i="2"/>
  <c r="BD204" i="2"/>
  <c r="AY204" i="2"/>
  <c r="AX204" i="2"/>
  <c r="AS204" i="2"/>
  <c r="AR204" i="2"/>
  <c r="AM204" i="2"/>
  <c r="AL204" i="2"/>
  <c r="AG204" i="2"/>
  <c r="AF204" i="2"/>
  <c r="AA204" i="2"/>
  <c r="N204" i="2"/>
  <c r="H204" i="2"/>
  <c r="Y203" i="2"/>
  <c r="X203" i="2"/>
  <c r="W203" i="2"/>
  <c r="BR203" i="2" s="1"/>
  <c r="T203" i="2"/>
  <c r="S203" i="2"/>
  <c r="V203" i="2" s="1"/>
  <c r="BT203" i="2" s="1"/>
  <c r="R203" i="2"/>
  <c r="Q203" i="2"/>
  <c r="P203" i="2"/>
  <c r="O203" i="2"/>
  <c r="BN203" i="2" s="1"/>
  <c r="G203" i="2"/>
  <c r="J203" i="2" s="1"/>
  <c r="Z202" i="2"/>
  <c r="Y202" i="2"/>
  <c r="X202" i="2"/>
  <c r="S202" i="2"/>
  <c r="R202" i="2"/>
  <c r="Q202" i="2"/>
  <c r="P202" i="2"/>
  <c r="O202" i="2"/>
  <c r="N202" i="2"/>
  <c r="W202" i="2" s="1"/>
  <c r="M202" i="2"/>
  <c r="L202" i="2"/>
  <c r="V202" i="2" s="1"/>
  <c r="K202" i="2"/>
  <c r="U202" i="2" s="1"/>
  <c r="H202" i="2"/>
  <c r="G202" i="2"/>
  <c r="J202" i="2" s="1"/>
  <c r="F202" i="2"/>
  <c r="E202" i="2"/>
  <c r="BT201" i="2"/>
  <c r="BO201" i="2"/>
  <c r="Z201" i="2"/>
  <c r="V201" i="2"/>
  <c r="T201" i="2"/>
  <c r="S201" i="2"/>
  <c r="R201" i="2"/>
  <c r="Q201" i="2"/>
  <c r="W201" i="2" s="1"/>
  <c r="BR201" i="2" s="1"/>
  <c r="P201" i="2"/>
  <c r="Y201" i="2" s="1"/>
  <c r="O201" i="2"/>
  <c r="X201" i="2" s="1"/>
  <c r="J201" i="2"/>
  <c r="I201" i="2"/>
  <c r="G201" i="2"/>
  <c r="S200" i="2"/>
  <c r="R200" i="2"/>
  <c r="Q200" i="2"/>
  <c r="Z200" i="2" s="1"/>
  <c r="P200" i="2"/>
  <c r="O200" i="2"/>
  <c r="N200" i="2"/>
  <c r="N739" i="2" s="1"/>
  <c r="M200" i="2"/>
  <c r="M739" i="2" s="1"/>
  <c r="L200" i="2"/>
  <c r="K200" i="2"/>
  <c r="J200" i="2"/>
  <c r="I200" i="2"/>
  <c r="H200" i="2"/>
  <c r="H739" i="2" s="1"/>
  <c r="G200" i="2"/>
  <c r="F200" i="2"/>
  <c r="E200" i="2"/>
  <c r="Y199" i="2"/>
  <c r="X199" i="2"/>
  <c r="W199" i="2"/>
  <c r="BR199" i="2" s="1"/>
  <c r="T199" i="2"/>
  <c r="S199" i="2"/>
  <c r="V199" i="2" s="1"/>
  <c r="BT199" i="2" s="1"/>
  <c r="R199" i="2"/>
  <c r="Q199" i="2"/>
  <c r="P199" i="2"/>
  <c r="O199" i="2"/>
  <c r="BN199" i="2" s="1"/>
  <c r="G199" i="2"/>
  <c r="J199" i="2" s="1"/>
  <c r="Z198" i="2"/>
  <c r="Y198" i="2"/>
  <c r="X198" i="2"/>
  <c r="T198" i="2"/>
  <c r="R198" i="2"/>
  <c r="Q198" i="2"/>
  <c r="P198" i="2"/>
  <c r="O198" i="2"/>
  <c r="N198" i="2"/>
  <c r="W198" i="2" s="1"/>
  <c r="M198" i="2"/>
  <c r="M195" i="2" s="1"/>
  <c r="L198" i="2"/>
  <c r="K198" i="2"/>
  <c r="U198" i="2" s="1"/>
  <c r="H198" i="2"/>
  <c r="G198" i="2"/>
  <c r="J198" i="2" s="1"/>
  <c r="F198" i="2"/>
  <c r="F195" i="2" s="1"/>
  <c r="E198" i="2"/>
  <c r="BT197" i="2"/>
  <c r="BO197" i="2"/>
  <c r="Z197" i="2"/>
  <c r="V197" i="2"/>
  <c r="T197" i="2"/>
  <c r="S197" i="2"/>
  <c r="R197" i="2"/>
  <c r="Q197" i="2"/>
  <c r="W197" i="2" s="1"/>
  <c r="BR197" i="2" s="1"/>
  <c r="P197" i="2"/>
  <c r="Y197" i="2" s="1"/>
  <c r="O197" i="2"/>
  <c r="X197" i="2" s="1"/>
  <c r="J197" i="2"/>
  <c r="I197" i="2"/>
  <c r="G197" i="2"/>
  <c r="BO195" i="2"/>
  <c r="T196" i="2"/>
  <c r="R196" i="2"/>
  <c r="Q196" i="2"/>
  <c r="Q195" i="2" s="1"/>
  <c r="P196" i="2"/>
  <c r="Y196" i="2" s="1"/>
  <c r="O196" i="2"/>
  <c r="N196" i="2"/>
  <c r="M196" i="2"/>
  <c r="L196" i="2"/>
  <c r="K196" i="2"/>
  <c r="K195" i="2" s="1"/>
  <c r="J196" i="2"/>
  <c r="I196" i="2"/>
  <c r="H196" i="2"/>
  <c r="G196" i="2"/>
  <c r="F196" i="2"/>
  <c r="E196" i="2"/>
  <c r="E195" i="2" s="1"/>
  <c r="BM195" i="2"/>
  <c r="BK195" i="2"/>
  <c r="BJ195" i="2"/>
  <c r="BI195" i="2"/>
  <c r="BH195" i="2"/>
  <c r="BG195" i="2"/>
  <c r="BF195" i="2"/>
  <c r="BE195" i="2"/>
  <c r="BD195" i="2"/>
  <c r="BC195" i="2"/>
  <c r="BB195" i="2"/>
  <c r="BA195" i="2"/>
  <c r="AZ195" i="2"/>
  <c r="AY195" i="2"/>
  <c r="AX195" i="2"/>
  <c r="AW195" i="2"/>
  <c r="AV195" i="2"/>
  <c r="AU195" i="2"/>
  <c r="AT195" i="2"/>
  <c r="AS195" i="2"/>
  <c r="AR195" i="2"/>
  <c r="AQ195" i="2"/>
  <c r="AP195" i="2"/>
  <c r="AO195" i="2"/>
  <c r="AN195" i="2"/>
  <c r="AM195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N195" i="2"/>
  <c r="H195" i="2"/>
  <c r="BO194" i="2"/>
  <c r="X194" i="2"/>
  <c r="V194" i="2"/>
  <c r="BT194" i="2" s="1"/>
  <c r="T194" i="2"/>
  <c r="S194" i="2"/>
  <c r="R194" i="2"/>
  <c r="Q194" i="2"/>
  <c r="Z194" i="2" s="1"/>
  <c r="P194" i="2"/>
  <c r="Y194" i="2" s="1"/>
  <c r="O194" i="2"/>
  <c r="BN194" i="2" s="1"/>
  <c r="BP194" i="2" s="1"/>
  <c r="G194" i="2"/>
  <c r="J194" i="2" s="1"/>
  <c r="Y193" i="2"/>
  <c r="X193" i="2"/>
  <c r="W193" i="2"/>
  <c r="T193" i="2"/>
  <c r="S193" i="2"/>
  <c r="R193" i="2"/>
  <c r="Q193" i="2"/>
  <c r="P193" i="2"/>
  <c r="O193" i="2"/>
  <c r="N193" i="2"/>
  <c r="M193" i="2"/>
  <c r="L193" i="2"/>
  <c r="V193" i="2" s="1"/>
  <c r="K193" i="2"/>
  <c r="U193" i="2" s="1"/>
  <c r="H193" i="2"/>
  <c r="G193" i="2"/>
  <c r="F6" i="3" s="1"/>
  <c r="F193" i="2"/>
  <c r="E193" i="2"/>
  <c r="Z192" i="2"/>
  <c r="Y192" i="2"/>
  <c r="T192" i="2"/>
  <c r="S192" i="2"/>
  <c r="V192" i="2" s="1"/>
  <c r="BT192" i="2" s="1"/>
  <c r="R192" i="2"/>
  <c r="Q192" i="2"/>
  <c r="W192" i="2" s="1"/>
  <c r="BR192" i="2" s="1"/>
  <c r="P192" i="2"/>
  <c r="O192" i="2"/>
  <c r="BN192" i="2" s="1"/>
  <c r="J192" i="2"/>
  <c r="I192" i="2"/>
  <c r="G192" i="2"/>
  <c r="G191" i="2" s="1"/>
  <c r="F192" i="2"/>
  <c r="S191" i="2"/>
  <c r="R191" i="2"/>
  <c r="Q191" i="2"/>
  <c r="Z191" i="2" s="1"/>
  <c r="P191" i="2"/>
  <c r="O191" i="2"/>
  <c r="N191" i="2"/>
  <c r="M191" i="2"/>
  <c r="L191" i="2"/>
  <c r="K191" i="2"/>
  <c r="H191" i="2"/>
  <c r="H737" i="2" s="1"/>
  <c r="F191" i="2"/>
  <c r="E191" i="2"/>
  <c r="Y190" i="2"/>
  <c r="X190" i="2"/>
  <c r="W190" i="2"/>
  <c r="T190" i="2"/>
  <c r="S190" i="2"/>
  <c r="S189" i="2" s="1"/>
  <c r="R190" i="2"/>
  <c r="R189" i="2" s="1"/>
  <c r="Q190" i="2"/>
  <c r="P190" i="2"/>
  <c r="O190" i="2"/>
  <c r="BN190" i="2" s="1"/>
  <c r="G190" i="2"/>
  <c r="G189" i="2" s="1"/>
  <c r="BM189" i="2"/>
  <c r="BL189" i="2"/>
  <c r="BK189" i="2"/>
  <c r="BK184" i="2" s="1"/>
  <c r="BJ189" i="2"/>
  <c r="BI189" i="2"/>
  <c r="BH189" i="2"/>
  <c r="BG189" i="2"/>
  <c r="BF189" i="2"/>
  <c r="BE189" i="2"/>
  <c r="BE184" i="2" s="1"/>
  <c r="BD189" i="2"/>
  <c r="BC189" i="2"/>
  <c r="BB189" i="2"/>
  <c r="BA189" i="2"/>
  <c r="AZ189" i="2"/>
  <c r="AY189" i="2"/>
  <c r="AY184" i="2" s="1"/>
  <c r="AX189" i="2"/>
  <c r="AW189" i="2"/>
  <c r="AV189" i="2"/>
  <c r="AU189" i="2"/>
  <c r="AT189" i="2"/>
  <c r="AS189" i="2"/>
  <c r="AS184" i="2" s="1"/>
  <c r="AR189" i="2"/>
  <c r="AQ189" i="2"/>
  <c r="AP189" i="2"/>
  <c r="AO189" i="2"/>
  <c r="AN189" i="2"/>
  <c r="AM189" i="2"/>
  <c r="AM184" i="2" s="1"/>
  <c r="AL189" i="2"/>
  <c r="AK189" i="2"/>
  <c r="AJ189" i="2"/>
  <c r="AI189" i="2"/>
  <c r="AH189" i="2"/>
  <c r="AG189" i="2"/>
  <c r="AG184" i="2" s="1"/>
  <c r="AG166" i="2" s="1"/>
  <c r="AF189" i="2"/>
  <c r="AE189" i="2"/>
  <c r="AD189" i="2"/>
  <c r="AC189" i="2"/>
  <c r="AB189" i="2"/>
  <c r="AA189" i="2"/>
  <c r="AA184" i="2" s="1"/>
  <c r="AA166" i="2" s="1"/>
  <c r="T189" i="2"/>
  <c r="P189" i="2"/>
  <c r="Y189" i="2" s="1"/>
  <c r="O189" i="2"/>
  <c r="X189" i="2" s="1"/>
  <c r="N189" i="2"/>
  <c r="M189" i="2"/>
  <c r="L189" i="2"/>
  <c r="K189" i="2"/>
  <c r="I189" i="2"/>
  <c r="H189" i="2"/>
  <c r="F189" i="2"/>
  <c r="E189" i="2"/>
  <c r="Y188" i="2"/>
  <c r="X188" i="2"/>
  <c r="T188" i="2"/>
  <c r="S188" i="2"/>
  <c r="V188" i="2" s="1"/>
  <c r="BT188" i="2" s="1"/>
  <c r="R188" i="2"/>
  <c r="Q188" i="2"/>
  <c r="W188" i="2" s="1"/>
  <c r="BR188" i="2" s="1"/>
  <c r="P188" i="2"/>
  <c r="O188" i="2"/>
  <c r="BN188" i="2" s="1"/>
  <c r="G188" i="2"/>
  <c r="J188" i="2" s="1"/>
  <c r="Z187" i="2"/>
  <c r="Y187" i="2"/>
  <c r="X187" i="2"/>
  <c r="T187" i="2"/>
  <c r="S187" i="2"/>
  <c r="V187" i="2" s="1"/>
  <c r="BT187" i="2" s="1"/>
  <c r="R187" i="2"/>
  <c r="R185" i="2" s="1"/>
  <c r="Q187" i="2"/>
  <c r="BO187" i="2" s="1"/>
  <c r="P187" i="2"/>
  <c r="O187" i="2"/>
  <c r="BN187" i="2" s="1"/>
  <c r="G187" i="2"/>
  <c r="Z186" i="2"/>
  <c r="Y186" i="2"/>
  <c r="T186" i="2"/>
  <c r="T185" i="2" s="1"/>
  <c r="S186" i="2"/>
  <c r="R186" i="2"/>
  <c r="Q186" i="2"/>
  <c r="W186" i="2" s="1"/>
  <c r="BR186" i="2" s="1"/>
  <c r="P186" i="2"/>
  <c r="O186" i="2"/>
  <c r="O185" i="2" s="1"/>
  <c r="J186" i="2"/>
  <c r="I186" i="2"/>
  <c r="G186" i="2"/>
  <c r="BM185" i="2"/>
  <c r="BL185" i="2"/>
  <c r="BK185" i="2"/>
  <c r="BJ185" i="2"/>
  <c r="BI185" i="2"/>
  <c r="BI184" i="2" s="1"/>
  <c r="BH185" i="2"/>
  <c r="BH184" i="2" s="1"/>
  <c r="BG185" i="2"/>
  <c r="BG184" i="2" s="1"/>
  <c r="BF185" i="2"/>
  <c r="BE185" i="2"/>
  <c r="BD185" i="2"/>
  <c r="BC185" i="2"/>
  <c r="BC184" i="2" s="1"/>
  <c r="BB185" i="2"/>
  <c r="BB184" i="2" s="1"/>
  <c r="BA185" i="2"/>
  <c r="BA184" i="2" s="1"/>
  <c r="AZ185" i="2"/>
  <c r="AY185" i="2"/>
  <c r="AX185" i="2"/>
  <c r="AW185" i="2"/>
  <c r="AW184" i="2" s="1"/>
  <c r="AV185" i="2"/>
  <c r="AV184" i="2" s="1"/>
  <c r="AU185" i="2"/>
  <c r="AU184" i="2" s="1"/>
  <c r="AT185" i="2"/>
  <c r="AS185" i="2"/>
  <c r="AR185" i="2"/>
  <c r="AQ185" i="2"/>
  <c r="AQ184" i="2" s="1"/>
  <c r="AP185" i="2"/>
  <c r="AP184" i="2" s="1"/>
  <c r="AO185" i="2"/>
  <c r="AO184" i="2" s="1"/>
  <c r="AN185" i="2"/>
  <c r="AM185" i="2"/>
  <c r="AL185" i="2"/>
  <c r="AK185" i="2"/>
  <c r="AK184" i="2" s="1"/>
  <c r="AJ185" i="2"/>
  <c r="AJ184" i="2" s="1"/>
  <c r="AI185" i="2"/>
  <c r="AI184" i="2" s="1"/>
  <c r="AH185" i="2"/>
  <c r="AG185" i="2"/>
  <c r="AF185" i="2"/>
  <c r="AE185" i="2"/>
  <c r="AE184" i="2" s="1"/>
  <c r="AD185" i="2"/>
  <c r="AD184" i="2" s="1"/>
  <c r="AC185" i="2"/>
  <c r="AC184" i="2" s="1"/>
  <c r="AB185" i="2"/>
  <c r="AA185" i="2"/>
  <c r="Y185" i="2"/>
  <c r="P185" i="2"/>
  <c r="N185" i="2"/>
  <c r="M185" i="2"/>
  <c r="M184" i="2" s="1"/>
  <c r="L185" i="2"/>
  <c r="L184" i="2" s="1"/>
  <c r="K185" i="2"/>
  <c r="K184" i="2" s="1"/>
  <c r="H185" i="2"/>
  <c r="F185" i="2"/>
  <c r="F184" i="2" s="1"/>
  <c r="E185" i="2"/>
  <c r="BJ184" i="2"/>
  <c r="BF184" i="2"/>
  <c r="BD184" i="2"/>
  <c r="AZ184" i="2"/>
  <c r="AX184" i="2"/>
  <c r="AT184" i="2"/>
  <c r="AR184" i="2"/>
  <c r="AN184" i="2"/>
  <c r="AL184" i="2"/>
  <c r="AH184" i="2"/>
  <c r="AF184" i="2"/>
  <c r="AB184" i="2"/>
  <c r="P184" i="2"/>
  <c r="Y184" i="2" s="1"/>
  <c r="N184" i="2"/>
  <c r="H184" i="2"/>
  <c r="Z183" i="2"/>
  <c r="Y183" i="2"/>
  <c r="X183" i="2"/>
  <c r="T183" i="2"/>
  <c r="S183" i="2"/>
  <c r="V183" i="2" s="1"/>
  <c r="BT183" i="2" s="1"/>
  <c r="R183" i="2"/>
  <c r="R175" i="2" s="1"/>
  <c r="Q183" i="2"/>
  <c r="BO183" i="2" s="1"/>
  <c r="P183" i="2"/>
  <c r="O183" i="2"/>
  <c r="BN183" i="2" s="1"/>
  <c r="BP183" i="2" s="1"/>
  <c r="BU183" i="2" s="1"/>
  <c r="G183" i="2"/>
  <c r="Z182" i="2"/>
  <c r="Y182" i="2"/>
  <c r="T182" i="2"/>
  <c r="S182" i="2"/>
  <c r="V182" i="2" s="1"/>
  <c r="BT182" i="2" s="1"/>
  <c r="R182" i="2"/>
  <c r="Q182" i="2"/>
  <c r="W182" i="2" s="1"/>
  <c r="BR182" i="2" s="1"/>
  <c r="P182" i="2"/>
  <c r="O182" i="2"/>
  <c r="BN182" i="2" s="1"/>
  <c r="J182" i="2"/>
  <c r="I182" i="2"/>
  <c r="G182" i="2"/>
  <c r="BT181" i="2"/>
  <c r="BO181" i="2"/>
  <c r="Z181" i="2"/>
  <c r="V181" i="2"/>
  <c r="T181" i="2"/>
  <c r="S181" i="2"/>
  <c r="R181" i="2"/>
  <c r="Q181" i="2"/>
  <c r="W181" i="2" s="1"/>
  <c r="BR181" i="2" s="1"/>
  <c r="P181" i="2"/>
  <c r="Y181" i="2" s="1"/>
  <c r="O181" i="2"/>
  <c r="X181" i="2" s="1"/>
  <c r="J181" i="2"/>
  <c r="I181" i="2"/>
  <c r="G181" i="2"/>
  <c r="BT180" i="2"/>
  <c r="BO180" i="2"/>
  <c r="BN180" i="2"/>
  <c r="BP180" i="2" s="1"/>
  <c r="V180" i="2"/>
  <c r="T180" i="2"/>
  <c r="S180" i="2"/>
  <c r="R180" i="2"/>
  <c r="Q180" i="2"/>
  <c r="W180" i="2" s="1"/>
  <c r="BR180" i="2" s="1"/>
  <c r="P180" i="2"/>
  <c r="Y180" i="2" s="1"/>
  <c r="O180" i="2"/>
  <c r="X180" i="2" s="1"/>
  <c r="J180" i="2"/>
  <c r="I180" i="2"/>
  <c r="G180" i="2"/>
  <c r="BO179" i="2"/>
  <c r="X179" i="2"/>
  <c r="V179" i="2"/>
  <c r="BT179" i="2" s="1"/>
  <c r="T179" i="2"/>
  <c r="S179" i="2"/>
  <c r="R179" i="2"/>
  <c r="Q179" i="2"/>
  <c r="Z179" i="2" s="1"/>
  <c r="P179" i="2"/>
  <c r="O179" i="2"/>
  <c r="BN179" i="2" s="1"/>
  <c r="G179" i="2"/>
  <c r="J179" i="2" s="1"/>
  <c r="Y178" i="2"/>
  <c r="X178" i="2"/>
  <c r="T178" i="2"/>
  <c r="S178" i="2"/>
  <c r="V178" i="2" s="1"/>
  <c r="BT178" i="2" s="1"/>
  <c r="R178" i="2"/>
  <c r="Q178" i="2"/>
  <c r="W178" i="2" s="1"/>
  <c r="BR178" i="2" s="1"/>
  <c r="P178" i="2"/>
  <c r="O178" i="2"/>
  <c r="BN178" i="2" s="1"/>
  <c r="G178" i="2"/>
  <c r="Z177" i="2"/>
  <c r="Y177" i="2"/>
  <c r="X177" i="2"/>
  <c r="T177" i="2"/>
  <c r="S177" i="2"/>
  <c r="V177" i="2" s="1"/>
  <c r="BT177" i="2" s="1"/>
  <c r="R177" i="2"/>
  <c r="Q177" i="2"/>
  <c r="BO177" i="2" s="1"/>
  <c r="P177" i="2"/>
  <c r="O177" i="2"/>
  <c r="BN177" i="2" s="1"/>
  <c r="BP177" i="2" s="1"/>
  <c r="I177" i="2"/>
  <c r="G177" i="2"/>
  <c r="Z176" i="2"/>
  <c r="Y176" i="2"/>
  <c r="T176" i="2"/>
  <c r="S176" i="2"/>
  <c r="R176" i="2"/>
  <c r="Q176" i="2"/>
  <c r="W176" i="2" s="1"/>
  <c r="BR176" i="2" s="1"/>
  <c r="P176" i="2"/>
  <c r="O176" i="2"/>
  <c r="O175" i="2" s="1"/>
  <c r="X175" i="2" s="1"/>
  <c r="J176" i="2"/>
  <c r="I176" i="2"/>
  <c r="G176" i="2"/>
  <c r="BM175" i="2"/>
  <c r="BL175" i="2"/>
  <c r="BK175" i="2"/>
  <c r="BJ175" i="2"/>
  <c r="BI175" i="2"/>
  <c r="BH175" i="2"/>
  <c r="BG175" i="2"/>
  <c r="BF175" i="2"/>
  <c r="BE175" i="2"/>
  <c r="BD175" i="2"/>
  <c r="BC175" i="2"/>
  <c r="BB175" i="2"/>
  <c r="BA175" i="2"/>
  <c r="AZ175" i="2"/>
  <c r="AY175" i="2"/>
  <c r="AX175" i="2"/>
  <c r="AW175" i="2"/>
  <c r="AV175" i="2"/>
  <c r="AU175" i="2"/>
  <c r="AT175" i="2"/>
  <c r="AS175" i="2"/>
  <c r="AR175" i="2"/>
  <c r="AQ175" i="2"/>
  <c r="AP175" i="2"/>
  <c r="AO175" i="2"/>
  <c r="AN175" i="2"/>
  <c r="AM175" i="2"/>
  <c r="AL175" i="2"/>
  <c r="AK175" i="2"/>
  <c r="AJ175" i="2"/>
  <c r="AI175" i="2"/>
  <c r="AH175" i="2"/>
  <c r="AG175" i="2"/>
  <c r="AF175" i="2"/>
  <c r="AE175" i="2"/>
  <c r="AD175" i="2"/>
  <c r="AC175" i="2"/>
  <c r="AB175" i="2"/>
  <c r="AA175" i="2"/>
  <c r="N175" i="2"/>
  <c r="M175" i="2"/>
  <c r="L175" i="2"/>
  <c r="K175" i="2"/>
  <c r="H175" i="2"/>
  <c r="F175" i="2"/>
  <c r="E175" i="2"/>
  <c r="BE174" i="2"/>
  <c r="BE171" i="2" s="1"/>
  <c r="Z174" i="2"/>
  <c r="V174" i="2"/>
  <c r="BT174" i="2" s="1"/>
  <c r="T174" i="2"/>
  <c r="S174" i="2"/>
  <c r="R174" i="2"/>
  <c r="Q174" i="2"/>
  <c r="BO174" i="2" s="1"/>
  <c r="P174" i="2"/>
  <c r="Y174" i="2" s="1"/>
  <c r="K174" i="2"/>
  <c r="E174" i="2"/>
  <c r="G174" i="2" s="1"/>
  <c r="Y173" i="2"/>
  <c r="X173" i="2"/>
  <c r="T173" i="2"/>
  <c r="S173" i="2"/>
  <c r="V173" i="2" s="1"/>
  <c r="BT173" i="2" s="1"/>
  <c r="R173" i="2"/>
  <c r="Q173" i="2"/>
  <c r="W173" i="2" s="1"/>
  <c r="BR173" i="2" s="1"/>
  <c r="P173" i="2"/>
  <c r="O173" i="2"/>
  <c r="BN173" i="2" s="1"/>
  <c r="G173" i="2"/>
  <c r="BH172" i="2"/>
  <c r="BB172" i="2"/>
  <c r="O172" i="2" s="1"/>
  <c r="Z172" i="2"/>
  <c r="V172" i="2"/>
  <c r="V171" i="2" s="1"/>
  <c r="T172" i="2"/>
  <c r="T171" i="2" s="1"/>
  <c r="S172" i="2"/>
  <c r="R172" i="2"/>
  <c r="Q172" i="2"/>
  <c r="BO172" i="2" s="1"/>
  <c r="P172" i="2"/>
  <c r="P171" i="2" s="1"/>
  <c r="K172" i="2"/>
  <c r="K171" i="2" s="1"/>
  <c r="J172" i="2"/>
  <c r="I172" i="2"/>
  <c r="BM171" i="2"/>
  <c r="BL171" i="2"/>
  <c r="BK171" i="2"/>
  <c r="BJ171" i="2"/>
  <c r="BI171" i="2"/>
  <c r="BI167" i="2" s="1"/>
  <c r="BH171" i="2"/>
  <c r="BG171" i="2"/>
  <c r="BF171" i="2"/>
  <c r="BD171" i="2"/>
  <c r="BC171" i="2"/>
  <c r="BC167" i="2" s="1"/>
  <c r="BA171" i="2"/>
  <c r="AZ171" i="2"/>
  <c r="AY171" i="2"/>
  <c r="AX171" i="2"/>
  <c r="AW171" i="2"/>
  <c r="AW167" i="2" s="1"/>
  <c r="AV171" i="2"/>
  <c r="AU171" i="2"/>
  <c r="AT171" i="2"/>
  <c r="AS171" i="2"/>
  <c r="AR171" i="2"/>
  <c r="AQ171" i="2"/>
  <c r="AQ167" i="2" s="1"/>
  <c r="AP171" i="2"/>
  <c r="AO171" i="2"/>
  <c r="AN171" i="2"/>
  <c r="AM171" i="2"/>
  <c r="AL171" i="2"/>
  <c r="AK171" i="2"/>
  <c r="AK167" i="2" s="1"/>
  <c r="AJ171" i="2"/>
  <c r="AI171" i="2"/>
  <c r="AH171" i="2"/>
  <c r="AG171" i="2"/>
  <c r="AF171" i="2"/>
  <c r="AE171" i="2"/>
  <c r="AE167" i="2" s="1"/>
  <c r="AD171" i="2"/>
  <c r="AC171" i="2"/>
  <c r="AB171" i="2"/>
  <c r="AA171" i="2"/>
  <c r="Y171" i="2"/>
  <c r="S171" i="2"/>
  <c r="R171" i="2"/>
  <c r="N171" i="2"/>
  <c r="M171" i="2"/>
  <c r="M167" i="2" s="1"/>
  <c r="L171" i="2"/>
  <c r="L167" i="2" s="1"/>
  <c r="H171" i="2"/>
  <c r="F171" i="2"/>
  <c r="F167" i="2" s="1"/>
  <c r="BT170" i="2"/>
  <c r="BO170" i="2"/>
  <c r="Z170" i="2"/>
  <c r="V170" i="2"/>
  <c r="T170" i="2"/>
  <c r="T168" i="2" s="1"/>
  <c r="S170" i="2"/>
  <c r="R170" i="2"/>
  <c r="Q170" i="2"/>
  <c r="W170" i="2" s="1"/>
  <c r="BR170" i="2" s="1"/>
  <c r="P170" i="2"/>
  <c r="Y170" i="2" s="1"/>
  <c r="O170" i="2"/>
  <c r="X170" i="2" s="1"/>
  <c r="I170" i="2"/>
  <c r="G170" i="2"/>
  <c r="BO169" i="2"/>
  <c r="BO168" i="2" s="1"/>
  <c r="BE169" i="2"/>
  <c r="BB169" i="2"/>
  <c r="AY169" i="2"/>
  <c r="AV169" i="2"/>
  <c r="AV168" i="2" s="1"/>
  <c r="AS169" i="2"/>
  <c r="AS168" i="2" s="1"/>
  <c r="AS167" i="2" s="1"/>
  <c r="AS166" i="2" s="1"/>
  <c r="AM169" i="2"/>
  <c r="O169" i="2" s="1"/>
  <c r="V169" i="2"/>
  <c r="T169" i="2"/>
  <c r="S169" i="2"/>
  <c r="R169" i="2"/>
  <c r="Q169" i="2"/>
  <c r="W169" i="2" s="1"/>
  <c r="BR169" i="2" s="1"/>
  <c r="P169" i="2"/>
  <c r="K169" i="2"/>
  <c r="E169" i="2"/>
  <c r="G169" i="2" s="1"/>
  <c r="BR168" i="2"/>
  <c r="BM168" i="2"/>
  <c r="BM167" i="2" s="1"/>
  <c r="BL168" i="2"/>
  <c r="BK168" i="2"/>
  <c r="BK167" i="2" s="1"/>
  <c r="BJ168" i="2"/>
  <c r="BI168" i="2"/>
  <c r="BH168" i="2"/>
  <c r="BG168" i="2"/>
  <c r="BG167" i="2" s="1"/>
  <c r="BF168" i="2"/>
  <c r="BE168" i="2"/>
  <c r="BE167" i="2" s="1"/>
  <c r="BD168" i="2"/>
  <c r="BC168" i="2"/>
  <c r="BB168" i="2"/>
  <c r="BA168" i="2"/>
  <c r="BA167" i="2" s="1"/>
  <c r="AZ168" i="2"/>
  <c r="AY168" i="2"/>
  <c r="AY167" i="2" s="1"/>
  <c r="AX168" i="2"/>
  <c r="AW168" i="2"/>
  <c r="AU168" i="2"/>
  <c r="AU167" i="2" s="1"/>
  <c r="AT168" i="2"/>
  <c r="AR168" i="2"/>
  <c r="AQ168" i="2"/>
  <c r="AP168" i="2"/>
  <c r="AO168" i="2"/>
  <c r="AO167" i="2" s="1"/>
  <c r="AN168" i="2"/>
  <c r="AL168" i="2"/>
  <c r="AK168" i="2"/>
  <c r="AJ168" i="2"/>
  <c r="AI168" i="2"/>
  <c r="AI167" i="2" s="1"/>
  <c r="AH168" i="2"/>
  <c r="AG168" i="2"/>
  <c r="AF168" i="2"/>
  <c r="AE168" i="2"/>
  <c r="AD168" i="2"/>
  <c r="AC168" i="2"/>
  <c r="AC167" i="2" s="1"/>
  <c r="AB168" i="2"/>
  <c r="AA168" i="2"/>
  <c r="W168" i="2"/>
  <c r="S168" i="2"/>
  <c r="R168" i="2"/>
  <c r="Q168" i="2"/>
  <c r="N168" i="2"/>
  <c r="M168" i="2"/>
  <c r="L168" i="2"/>
  <c r="K168" i="2"/>
  <c r="H168" i="2"/>
  <c r="F168" i="2"/>
  <c r="BL167" i="2"/>
  <c r="BJ167" i="2"/>
  <c r="BF167" i="2"/>
  <c r="BD167" i="2"/>
  <c r="AZ167" i="2"/>
  <c r="AX167" i="2"/>
  <c r="AT167" i="2"/>
  <c r="AR167" i="2"/>
  <c r="AN167" i="2"/>
  <c r="AL167" i="2"/>
  <c r="AH167" i="2"/>
  <c r="AG167" i="2"/>
  <c r="AF167" i="2"/>
  <c r="AB167" i="2"/>
  <c r="AA167" i="2"/>
  <c r="N167" i="2"/>
  <c r="H167" i="2"/>
  <c r="H166" i="2" s="1"/>
  <c r="BT164" i="2"/>
  <c r="BT163" i="2" s="1"/>
  <c r="BO164" i="2"/>
  <c r="BO163" i="2" s="1"/>
  <c r="BN164" i="2"/>
  <c r="BJ164" i="2"/>
  <c r="X164" i="2"/>
  <c r="W164" i="2"/>
  <c r="V164" i="2"/>
  <c r="T164" i="2"/>
  <c r="S164" i="2"/>
  <c r="R164" i="2"/>
  <c r="R163" i="2" s="1"/>
  <c r="Q164" i="2"/>
  <c r="P164" i="2"/>
  <c r="Y164" i="2" s="1"/>
  <c r="O164" i="2"/>
  <c r="U164" i="2" s="1"/>
  <c r="BQ164" i="2" s="1"/>
  <c r="G164" i="2"/>
  <c r="BQ163" i="2"/>
  <c r="BM163" i="2"/>
  <c r="BL163" i="2"/>
  <c r="BK163" i="2"/>
  <c r="BJ163" i="2"/>
  <c r="BI163" i="2"/>
  <c r="BH163" i="2"/>
  <c r="BG163" i="2"/>
  <c r="BF163" i="2"/>
  <c r="BE163" i="2"/>
  <c r="BD163" i="2"/>
  <c r="BC163" i="2"/>
  <c r="BB163" i="2"/>
  <c r="BA163" i="2"/>
  <c r="AZ163" i="2"/>
  <c r="AY163" i="2"/>
  <c r="AX163" i="2"/>
  <c r="AW163" i="2"/>
  <c r="AV163" i="2"/>
  <c r="AU163" i="2"/>
  <c r="AT163" i="2"/>
  <c r="AS163" i="2"/>
  <c r="AR163" i="2"/>
  <c r="AQ163" i="2"/>
  <c r="AP163" i="2"/>
  <c r="AO163" i="2"/>
  <c r="AN163" i="2"/>
  <c r="AM163" i="2"/>
  <c r="AL163" i="2"/>
  <c r="AK163" i="2"/>
  <c r="AJ163" i="2"/>
  <c r="AI163" i="2"/>
  <c r="AH163" i="2"/>
  <c r="AG163" i="2"/>
  <c r="AF163" i="2"/>
  <c r="AE163" i="2"/>
  <c r="AD163" i="2"/>
  <c r="AC163" i="2"/>
  <c r="AB163" i="2"/>
  <c r="AA163" i="2"/>
  <c r="V163" i="2"/>
  <c r="U163" i="2"/>
  <c r="T163" i="2"/>
  <c r="S163" i="2"/>
  <c r="O163" i="2"/>
  <c r="X163" i="2" s="1"/>
  <c r="N163" i="2"/>
  <c r="M163" i="2"/>
  <c r="L163" i="2"/>
  <c r="K163" i="2"/>
  <c r="H163" i="2"/>
  <c r="F163" i="2"/>
  <c r="E163" i="2"/>
  <c r="BJ162" i="2"/>
  <c r="Y162" i="2"/>
  <c r="X162" i="2"/>
  <c r="W162" i="2"/>
  <c r="BR162" i="2" s="1"/>
  <c r="T162" i="2"/>
  <c r="S162" i="2"/>
  <c r="V162" i="2" s="1"/>
  <c r="BT162" i="2" s="1"/>
  <c r="R162" i="2"/>
  <c r="R160" i="2" s="1"/>
  <c r="Q162" i="2"/>
  <c r="Z162" i="2" s="1"/>
  <c r="P162" i="2"/>
  <c r="O162" i="2"/>
  <c r="U162" i="2" s="1"/>
  <c r="BQ162" i="2" s="1"/>
  <c r="BS162" i="2" s="1"/>
  <c r="BV162" i="2" s="1"/>
  <c r="N162" i="2"/>
  <c r="I162" i="2"/>
  <c r="G162" i="2"/>
  <c r="J162" i="2" s="1"/>
  <c r="BN161" i="2"/>
  <c r="BJ161" i="2"/>
  <c r="V161" i="2"/>
  <c r="U161" i="2"/>
  <c r="BQ161" i="2" s="1"/>
  <c r="T161" i="2"/>
  <c r="T160" i="2" s="1"/>
  <c r="S161" i="2"/>
  <c r="R161" i="2"/>
  <c r="P161" i="2"/>
  <c r="O161" i="2"/>
  <c r="X161" i="2" s="1"/>
  <c r="N161" i="2"/>
  <c r="N160" i="2" s="1"/>
  <c r="J161" i="2"/>
  <c r="I161" i="2"/>
  <c r="G161" i="2"/>
  <c r="BM160" i="2"/>
  <c r="BL160" i="2"/>
  <c r="BK160" i="2"/>
  <c r="BI160" i="2"/>
  <c r="BH160" i="2"/>
  <c r="BG160" i="2"/>
  <c r="BF160" i="2"/>
  <c r="BE160" i="2"/>
  <c r="BD160" i="2"/>
  <c r="BC160" i="2"/>
  <c r="BB160" i="2"/>
  <c r="BA160" i="2"/>
  <c r="AZ160" i="2"/>
  <c r="AY160" i="2"/>
  <c r="AX160" i="2"/>
  <c r="AW160" i="2"/>
  <c r="AV160" i="2"/>
  <c r="AU160" i="2"/>
  <c r="AT160" i="2"/>
  <c r="AS160" i="2"/>
  <c r="AR160" i="2"/>
  <c r="AQ160" i="2"/>
  <c r="AP160" i="2"/>
  <c r="AO160" i="2"/>
  <c r="AN160" i="2"/>
  <c r="AM160" i="2"/>
  <c r="AL160" i="2"/>
  <c r="AK160" i="2"/>
  <c r="AJ160" i="2"/>
  <c r="AI160" i="2"/>
  <c r="AH160" i="2"/>
  <c r="AG160" i="2"/>
  <c r="AF160" i="2"/>
  <c r="AE160" i="2"/>
  <c r="AD160" i="2"/>
  <c r="AC160" i="2"/>
  <c r="AB160" i="2"/>
  <c r="AA160" i="2"/>
  <c r="U160" i="2"/>
  <c r="O160" i="2"/>
  <c r="X160" i="2" s="1"/>
  <c r="M160" i="2"/>
  <c r="L160" i="2"/>
  <c r="K160" i="2"/>
  <c r="H160" i="2"/>
  <c r="G160" i="2"/>
  <c r="J160" i="2" s="1"/>
  <c r="F160" i="2"/>
  <c r="E160" i="2"/>
  <c r="BT159" i="2"/>
  <c r="BT158" i="2" s="1"/>
  <c r="BN159" i="2"/>
  <c r="V159" i="2"/>
  <c r="T159" i="2"/>
  <c r="S159" i="2"/>
  <c r="R159" i="2"/>
  <c r="Q159" i="2"/>
  <c r="Z159" i="2" s="1"/>
  <c r="P159" i="2"/>
  <c r="Y159" i="2" s="1"/>
  <c r="O159" i="2"/>
  <c r="X159" i="2" s="1"/>
  <c r="N159" i="2"/>
  <c r="G159" i="2"/>
  <c r="BM158" i="2"/>
  <c r="BL158" i="2"/>
  <c r="BK158" i="2"/>
  <c r="BJ158" i="2"/>
  <c r="BI158" i="2"/>
  <c r="BH158" i="2"/>
  <c r="BG158" i="2"/>
  <c r="BF158" i="2"/>
  <c r="BE158" i="2"/>
  <c r="BD158" i="2"/>
  <c r="BC158" i="2"/>
  <c r="BB158" i="2"/>
  <c r="BA158" i="2"/>
  <c r="AZ158" i="2"/>
  <c r="AY158" i="2"/>
  <c r="AX158" i="2"/>
  <c r="AW158" i="2"/>
  <c r="AV158" i="2"/>
  <c r="AU158" i="2"/>
  <c r="AT158" i="2"/>
  <c r="AS158" i="2"/>
  <c r="AR158" i="2"/>
  <c r="AQ158" i="2"/>
  <c r="AP158" i="2"/>
  <c r="AO158" i="2"/>
  <c r="AN158" i="2"/>
  <c r="AM158" i="2"/>
  <c r="AL158" i="2"/>
  <c r="AK158" i="2"/>
  <c r="AJ158" i="2"/>
  <c r="AI158" i="2"/>
  <c r="AH158" i="2"/>
  <c r="AG158" i="2"/>
  <c r="AF158" i="2"/>
  <c r="AE158" i="2"/>
  <c r="AD158" i="2"/>
  <c r="AC158" i="2"/>
  <c r="AB158" i="2"/>
  <c r="AA158" i="2"/>
  <c r="Z158" i="2"/>
  <c r="V158" i="2"/>
  <c r="T158" i="2"/>
  <c r="S158" i="2"/>
  <c r="R158" i="2"/>
  <c r="Q158" i="2"/>
  <c r="P158" i="2"/>
  <c r="Y158" i="2" s="1"/>
  <c r="N158" i="2"/>
  <c r="M158" i="2"/>
  <c r="L158" i="2"/>
  <c r="K158" i="2"/>
  <c r="J158" i="2"/>
  <c r="H158" i="2"/>
  <c r="G158" i="2"/>
  <c r="I158" i="2" s="1"/>
  <c r="F158" i="2"/>
  <c r="E158" i="2"/>
  <c r="BN157" i="2"/>
  <c r="BP157" i="2" s="1"/>
  <c r="BU157" i="2" s="1"/>
  <c r="BM157" i="2"/>
  <c r="T157" i="2" s="1"/>
  <c r="Y157" i="2"/>
  <c r="S157" i="2"/>
  <c r="R157" i="2"/>
  <c r="Q157" i="2"/>
  <c r="BO157" i="2" s="1"/>
  <c r="P157" i="2"/>
  <c r="O157" i="2"/>
  <c r="X157" i="2" s="1"/>
  <c r="N157" i="2"/>
  <c r="W157" i="2" s="1"/>
  <c r="BR157" i="2" s="1"/>
  <c r="J157" i="2"/>
  <c r="I157" i="2"/>
  <c r="G157" i="2"/>
  <c r="BT156" i="2"/>
  <c r="BN156" i="2"/>
  <c r="BM156" i="2"/>
  <c r="BM155" i="2" s="1"/>
  <c r="BJ156" i="2"/>
  <c r="Y156" i="2"/>
  <c r="X156" i="2"/>
  <c r="W156" i="2"/>
  <c r="T156" i="2"/>
  <c r="T155" i="2" s="1"/>
  <c r="S156" i="2"/>
  <c r="V156" i="2" s="1"/>
  <c r="R156" i="2"/>
  <c r="Q156" i="2"/>
  <c r="P156" i="2"/>
  <c r="O156" i="2"/>
  <c r="U156" i="2" s="1"/>
  <c r="N156" i="2"/>
  <c r="N155" i="2" s="1"/>
  <c r="G156" i="2"/>
  <c r="BL155" i="2"/>
  <c r="BL150" i="2" s="1"/>
  <c r="BK155" i="2"/>
  <c r="BJ155" i="2"/>
  <c r="BI155" i="2"/>
  <c r="BH155" i="2"/>
  <c r="BG155" i="2"/>
  <c r="BF155" i="2"/>
  <c r="BF150" i="2" s="1"/>
  <c r="BE155" i="2"/>
  <c r="BD155" i="2"/>
  <c r="BC155" i="2"/>
  <c r="BB155" i="2"/>
  <c r="BA155" i="2"/>
  <c r="AZ155" i="2"/>
  <c r="AZ150" i="2" s="1"/>
  <c r="AY155" i="2"/>
  <c r="AX155" i="2"/>
  <c r="AW155" i="2"/>
  <c r="AV155" i="2"/>
  <c r="AU155" i="2"/>
  <c r="AT155" i="2"/>
  <c r="AT150" i="2" s="1"/>
  <c r="AS155" i="2"/>
  <c r="AR155" i="2"/>
  <c r="AQ155" i="2"/>
  <c r="AP155" i="2"/>
  <c r="AO155" i="2"/>
  <c r="AN155" i="2"/>
  <c r="AN150" i="2" s="1"/>
  <c r="AM155" i="2"/>
  <c r="AL155" i="2"/>
  <c r="AK155" i="2"/>
  <c r="AJ155" i="2"/>
  <c r="AI155" i="2"/>
  <c r="AH155" i="2"/>
  <c r="AH150" i="2" s="1"/>
  <c r="AG155" i="2"/>
  <c r="AF155" i="2"/>
  <c r="AE155" i="2"/>
  <c r="AD155" i="2"/>
  <c r="AC155" i="2"/>
  <c r="AB155" i="2"/>
  <c r="AB150" i="2" s="1"/>
  <c r="AA155" i="2"/>
  <c r="R155" i="2"/>
  <c r="P155" i="2"/>
  <c r="Y155" i="2" s="1"/>
  <c r="M155" i="2"/>
  <c r="L155" i="2"/>
  <c r="K155" i="2"/>
  <c r="H155" i="2"/>
  <c r="F155" i="2"/>
  <c r="E155" i="2"/>
  <c r="BT154" i="2"/>
  <c r="BN154" i="2"/>
  <c r="BJ154" i="2"/>
  <c r="BG154" i="2"/>
  <c r="Z154" i="2"/>
  <c r="V154" i="2"/>
  <c r="V153" i="2" s="1"/>
  <c r="T154" i="2"/>
  <c r="T153" i="2" s="1"/>
  <c r="S154" i="2"/>
  <c r="S153" i="2" s="1"/>
  <c r="R154" i="2"/>
  <c r="Q154" i="2"/>
  <c r="Q153" i="2" s="1"/>
  <c r="Z153" i="2" s="1"/>
  <c r="P154" i="2"/>
  <c r="Y154" i="2" s="1"/>
  <c r="O154" i="2"/>
  <c r="X154" i="2" s="1"/>
  <c r="J154" i="2"/>
  <c r="I154" i="2"/>
  <c r="G154" i="2"/>
  <c r="BT153" i="2"/>
  <c r="BN153" i="2"/>
  <c r="BM153" i="2"/>
  <c r="BL153" i="2"/>
  <c r="BK153" i="2"/>
  <c r="BK150" i="2" s="1"/>
  <c r="BJ153" i="2"/>
  <c r="BI153" i="2"/>
  <c r="BH153" i="2"/>
  <c r="BH150" i="2" s="1"/>
  <c r="BG153" i="2"/>
  <c r="BF153" i="2"/>
  <c r="BE153" i="2"/>
  <c r="BE150" i="2" s="1"/>
  <c r="BD153" i="2"/>
  <c r="BC153" i="2"/>
  <c r="BB153" i="2"/>
  <c r="BB150" i="2" s="1"/>
  <c r="BA153" i="2"/>
  <c r="AZ153" i="2"/>
  <c r="AY153" i="2"/>
  <c r="AY150" i="2" s="1"/>
  <c r="AX153" i="2"/>
  <c r="AW153" i="2"/>
  <c r="AV153" i="2"/>
  <c r="AV150" i="2" s="1"/>
  <c r="AU153" i="2"/>
  <c r="AT153" i="2"/>
  <c r="AS153" i="2"/>
  <c r="AS150" i="2" s="1"/>
  <c r="AR153" i="2"/>
  <c r="AQ153" i="2"/>
  <c r="AP153" i="2"/>
  <c r="AP150" i="2" s="1"/>
  <c r="AO153" i="2"/>
  <c r="AN153" i="2"/>
  <c r="AM153" i="2"/>
  <c r="AM150" i="2" s="1"/>
  <c r="AL153" i="2"/>
  <c r="AK153" i="2"/>
  <c r="AJ153" i="2"/>
  <c r="AJ150" i="2" s="1"/>
  <c r="AI153" i="2"/>
  <c r="AH153" i="2"/>
  <c r="AG153" i="2"/>
  <c r="AG150" i="2" s="1"/>
  <c r="AF153" i="2"/>
  <c r="AE153" i="2"/>
  <c r="AD153" i="2"/>
  <c r="AD150" i="2" s="1"/>
  <c r="AC153" i="2"/>
  <c r="AB153" i="2"/>
  <c r="AA153" i="2"/>
  <c r="AA150" i="2" s="1"/>
  <c r="X153" i="2"/>
  <c r="R153" i="2"/>
  <c r="O153" i="2"/>
  <c r="N153" i="2"/>
  <c r="M153" i="2"/>
  <c r="L153" i="2"/>
  <c r="L150" i="2" s="1"/>
  <c r="K153" i="2"/>
  <c r="I153" i="2"/>
  <c r="H153" i="2"/>
  <c r="G153" i="2"/>
  <c r="J153" i="2" s="1"/>
  <c r="F153" i="2"/>
  <c r="F150" i="2" s="1"/>
  <c r="E153" i="2"/>
  <c r="BJ152" i="2"/>
  <c r="Q152" i="2" s="1"/>
  <c r="V152" i="2"/>
  <c r="BT152" i="2" s="1"/>
  <c r="BT151" i="2" s="1"/>
  <c r="U152" i="2"/>
  <c r="T152" i="2"/>
  <c r="S152" i="2"/>
  <c r="R152" i="2"/>
  <c r="R151" i="2" s="1"/>
  <c r="P152" i="2"/>
  <c r="Y152" i="2" s="1"/>
  <c r="O152" i="2"/>
  <c r="N152" i="2"/>
  <c r="I152" i="2"/>
  <c r="G152" i="2"/>
  <c r="G151" i="2" s="1"/>
  <c r="BM151" i="2"/>
  <c r="BM150" i="2" s="1"/>
  <c r="BL151" i="2"/>
  <c r="BK151" i="2"/>
  <c r="BJ151" i="2"/>
  <c r="BI151" i="2"/>
  <c r="BH151" i="2"/>
  <c r="BG151" i="2"/>
  <c r="BG150" i="2" s="1"/>
  <c r="BG127" i="2" s="1"/>
  <c r="BF151" i="2"/>
  <c r="BE151" i="2"/>
  <c r="BD151" i="2"/>
  <c r="BD150" i="2" s="1"/>
  <c r="BD127" i="2" s="1"/>
  <c r="BC151" i="2"/>
  <c r="BB151" i="2"/>
  <c r="BA151" i="2"/>
  <c r="BA150" i="2" s="1"/>
  <c r="BA127" i="2" s="1"/>
  <c r="AZ151" i="2"/>
  <c r="AY151" i="2"/>
  <c r="AX151" i="2"/>
  <c r="AX150" i="2" s="1"/>
  <c r="AX127" i="2" s="1"/>
  <c r="AW151" i="2"/>
  <c r="AV151" i="2"/>
  <c r="AU151" i="2"/>
  <c r="AU150" i="2" s="1"/>
  <c r="AU127" i="2" s="1"/>
  <c r="AT151" i="2"/>
  <c r="AS151" i="2"/>
  <c r="AR151" i="2"/>
  <c r="AR150" i="2" s="1"/>
  <c r="AR127" i="2" s="1"/>
  <c r="AQ151" i="2"/>
  <c r="AP151" i="2"/>
  <c r="AO151" i="2"/>
  <c r="AO150" i="2" s="1"/>
  <c r="AO127" i="2" s="1"/>
  <c r="AN151" i="2"/>
  <c r="AM151" i="2"/>
  <c r="AL151" i="2"/>
  <c r="AL150" i="2" s="1"/>
  <c r="AK151" i="2"/>
  <c r="AJ151" i="2"/>
  <c r="AI151" i="2"/>
  <c r="AI150" i="2" s="1"/>
  <c r="AI127" i="2" s="1"/>
  <c r="AH151" i="2"/>
  <c r="AG151" i="2"/>
  <c r="AF151" i="2"/>
  <c r="AF150" i="2" s="1"/>
  <c r="AF127" i="2" s="1"/>
  <c r="AE151" i="2"/>
  <c r="AD151" i="2"/>
  <c r="AC151" i="2"/>
  <c r="AC150" i="2" s="1"/>
  <c r="AC127" i="2" s="1"/>
  <c r="AB151" i="2"/>
  <c r="AA151" i="2"/>
  <c r="V151" i="2"/>
  <c r="T151" i="2"/>
  <c r="S151" i="2"/>
  <c r="P151" i="2"/>
  <c r="Y151" i="2" s="1"/>
  <c r="N151" i="2"/>
  <c r="M151" i="2"/>
  <c r="L151" i="2"/>
  <c r="K151" i="2"/>
  <c r="K150" i="2" s="1"/>
  <c r="K127" i="2" s="1"/>
  <c r="H151" i="2"/>
  <c r="H150" i="2" s="1"/>
  <c r="F151" i="2"/>
  <c r="E151" i="2"/>
  <c r="E150" i="2" s="1"/>
  <c r="E127" i="2" s="1"/>
  <c r="BI150" i="2"/>
  <c r="BC150" i="2"/>
  <c r="AW150" i="2"/>
  <c r="AQ150" i="2"/>
  <c r="AK150" i="2"/>
  <c r="AE150" i="2"/>
  <c r="M150" i="2"/>
  <c r="BT149" i="2"/>
  <c r="BT148" i="2" s="1"/>
  <c r="V149" i="2"/>
  <c r="T149" i="2"/>
  <c r="S149" i="2"/>
  <c r="R149" i="2"/>
  <c r="R148" i="2" s="1"/>
  <c r="Q149" i="2"/>
  <c r="Z149" i="2" s="1"/>
  <c r="P149" i="2"/>
  <c r="Y149" i="2" s="1"/>
  <c r="O149" i="2"/>
  <c r="BN149" i="2" s="1"/>
  <c r="G149" i="2"/>
  <c r="J149" i="2" s="1"/>
  <c r="BM148" i="2"/>
  <c r="BL148" i="2"/>
  <c r="BK148" i="2"/>
  <c r="BJ148" i="2"/>
  <c r="BI148" i="2"/>
  <c r="BH148" i="2"/>
  <c r="BG148" i="2"/>
  <c r="BF148" i="2"/>
  <c r="BE148" i="2"/>
  <c r="BD148" i="2"/>
  <c r="BC148" i="2"/>
  <c r="BB148" i="2"/>
  <c r="BA148" i="2"/>
  <c r="AZ148" i="2"/>
  <c r="AY148" i="2"/>
  <c r="AX148" i="2"/>
  <c r="AW148" i="2"/>
  <c r="AV148" i="2"/>
  <c r="AU148" i="2"/>
  <c r="AT148" i="2"/>
  <c r="AS148" i="2"/>
  <c r="AR148" i="2"/>
  <c r="AQ148" i="2"/>
  <c r="AP148" i="2"/>
  <c r="AO148" i="2"/>
  <c r="AN148" i="2"/>
  <c r="AM148" i="2"/>
  <c r="AL148" i="2"/>
  <c r="AK148" i="2"/>
  <c r="AJ148" i="2"/>
  <c r="AI148" i="2"/>
  <c r="AH148" i="2"/>
  <c r="AG148" i="2"/>
  <c r="AF148" i="2"/>
  <c r="AE148" i="2"/>
  <c r="AD148" i="2"/>
  <c r="AC148" i="2"/>
  <c r="AB148" i="2"/>
  <c r="AA148" i="2"/>
  <c r="Y148" i="2"/>
  <c r="V148" i="2"/>
  <c r="T148" i="2"/>
  <c r="S148" i="2"/>
  <c r="P148" i="2"/>
  <c r="N148" i="2"/>
  <c r="M148" i="2"/>
  <c r="L148" i="2"/>
  <c r="K148" i="2"/>
  <c r="H148" i="2"/>
  <c r="G148" i="2"/>
  <c r="F148" i="2"/>
  <c r="E148" i="2"/>
  <c r="BT147" i="2"/>
  <c r="BN147" i="2"/>
  <c r="V147" i="2"/>
  <c r="T147" i="2"/>
  <c r="S147" i="2"/>
  <c r="R147" i="2"/>
  <c r="Q147" i="2"/>
  <c r="Z147" i="2" s="1"/>
  <c r="P147" i="2"/>
  <c r="Y147" i="2" s="1"/>
  <c r="O147" i="2"/>
  <c r="X147" i="2" s="1"/>
  <c r="G147" i="2"/>
  <c r="J147" i="2" s="1"/>
  <c r="BO146" i="2"/>
  <c r="X146" i="2"/>
  <c r="V146" i="2"/>
  <c r="BT146" i="2" s="1"/>
  <c r="T146" i="2"/>
  <c r="S146" i="2"/>
  <c r="R146" i="2"/>
  <c r="Q146" i="2"/>
  <c r="Z146" i="2" s="1"/>
  <c r="P146" i="2"/>
  <c r="Y146" i="2" s="1"/>
  <c r="O146" i="2"/>
  <c r="BN146" i="2" s="1"/>
  <c r="I146" i="2"/>
  <c r="G146" i="2"/>
  <c r="J146" i="2" s="1"/>
  <c r="Y145" i="2"/>
  <c r="X145" i="2"/>
  <c r="T145" i="2"/>
  <c r="S145" i="2"/>
  <c r="V145" i="2" s="1"/>
  <c r="BT145" i="2" s="1"/>
  <c r="R145" i="2"/>
  <c r="Q145" i="2"/>
  <c r="P145" i="2"/>
  <c r="O145" i="2"/>
  <c r="BN145" i="2" s="1"/>
  <c r="J145" i="2"/>
  <c r="I145" i="2"/>
  <c r="G145" i="2"/>
  <c r="Z144" i="2"/>
  <c r="Y144" i="2"/>
  <c r="X144" i="2"/>
  <c r="T144" i="2"/>
  <c r="S144" i="2"/>
  <c r="V144" i="2" s="1"/>
  <c r="BT144" i="2" s="1"/>
  <c r="R144" i="2"/>
  <c r="Q144" i="2"/>
  <c r="W144" i="2" s="1"/>
  <c r="BR144" i="2" s="1"/>
  <c r="P144" i="2"/>
  <c r="O144" i="2"/>
  <c r="BN144" i="2" s="1"/>
  <c r="G144" i="2"/>
  <c r="BR143" i="2"/>
  <c r="BO143" i="2"/>
  <c r="Z143" i="2"/>
  <c r="Y143" i="2"/>
  <c r="T143" i="2"/>
  <c r="S143" i="2"/>
  <c r="R143" i="2"/>
  <c r="Q143" i="2"/>
  <c r="W143" i="2" s="1"/>
  <c r="P143" i="2"/>
  <c r="O143" i="2"/>
  <c r="X143" i="2" s="1"/>
  <c r="I143" i="2"/>
  <c r="G143" i="2"/>
  <c r="J143" i="2" s="1"/>
  <c r="Z142" i="2"/>
  <c r="V142" i="2"/>
  <c r="BT142" i="2" s="1"/>
  <c r="T142" i="2"/>
  <c r="S142" i="2"/>
  <c r="R142" i="2"/>
  <c r="Q142" i="2"/>
  <c r="W142" i="2" s="1"/>
  <c r="BR142" i="2" s="1"/>
  <c r="P142" i="2"/>
  <c r="Y142" i="2" s="1"/>
  <c r="O142" i="2"/>
  <c r="X142" i="2" s="1"/>
  <c r="J142" i="2"/>
  <c r="I142" i="2"/>
  <c r="G142" i="2"/>
  <c r="BT141" i="2"/>
  <c r="V141" i="2"/>
  <c r="T141" i="2"/>
  <c r="S141" i="2"/>
  <c r="R141" i="2"/>
  <c r="Q141" i="2"/>
  <c r="Z141" i="2" s="1"/>
  <c r="P141" i="2"/>
  <c r="Y141" i="2" s="1"/>
  <c r="O141" i="2"/>
  <c r="X141" i="2" s="1"/>
  <c r="G141" i="2"/>
  <c r="J141" i="2" s="1"/>
  <c r="BO140" i="2"/>
  <c r="X140" i="2"/>
  <c r="V140" i="2"/>
  <c r="BT140" i="2" s="1"/>
  <c r="T140" i="2"/>
  <c r="S140" i="2"/>
  <c r="R140" i="2"/>
  <c r="Q140" i="2"/>
  <c r="Z140" i="2" s="1"/>
  <c r="P140" i="2"/>
  <c r="Y140" i="2" s="1"/>
  <c r="O140" i="2"/>
  <c r="BN140" i="2" s="1"/>
  <c r="I140" i="2"/>
  <c r="G140" i="2"/>
  <c r="J140" i="2" s="1"/>
  <c r="Y139" i="2"/>
  <c r="X139" i="2"/>
  <c r="W139" i="2"/>
  <c r="BR139" i="2" s="1"/>
  <c r="T139" i="2"/>
  <c r="S139" i="2"/>
  <c r="V139" i="2" s="1"/>
  <c r="BT139" i="2" s="1"/>
  <c r="R139" i="2"/>
  <c r="Q139" i="2"/>
  <c r="P139" i="2"/>
  <c r="O139" i="2"/>
  <c r="BN139" i="2" s="1"/>
  <c r="J139" i="2"/>
  <c r="I139" i="2"/>
  <c r="G139" i="2"/>
  <c r="Z138" i="2"/>
  <c r="Y138" i="2"/>
  <c r="X138" i="2"/>
  <c r="T138" i="2"/>
  <c r="T137" i="2" s="1"/>
  <c r="S138" i="2"/>
  <c r="V138" i="2" s="1"/>
  <c r="BT138" i="2" s="1"/>
  <c r="R138" i="2"/>
  <c r="Q138" i="2"/>
  <c r="W138" i="2" s="1"/>
  <c r="P138" i="2"/>
  <c r="O138" i="2"/>
  <c r="O137" i="2" s="1"/>
  <c r="X137" i="2" s="1"/>
  <c r="G138" i="2"/>
  <c r="BM137" i="2"/>
  <c r="BL137" i="2"/>
  <c r="BK137" i="2"/>
  <c r="BJ137" i="2"/>
  <c r="BI137" i="2"/>
  <c r="BH137" i="2"/>
  <c r="BG137" i="2"/>
  <c r="BF137" i="2"/>
  <c r="BE137" i="2"/>
  <c r="BD137" i="2"/>
  <c r="BC137" i="2"/>
  <c r="BB137" i="2"/>
  <c r="BA137" i="2"/>
  <c r="AZ137" i="2"/>
  <c r="AY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K137" i="2"/>
  <c r="AJ137" i="2"/>
  <c r="AI137" i="2"/>
  <c r="AH137" i="2"/>
  <c r="AG137" i="2"/>
  <c r="AF137" i="2"/>
  <c r="AE137" i="2"/>
  <c r="AD137" i="2"/>
  <c r="AC137" i="2"/>
  <c r="AB137" i="2"/>
  <c r="AA137" i="2"/>
  <c r="P137" i="2"/>
  <c r="Y137" i="2" s="1"/>
  <c r="N137" i="2"/>
  <c r="M137" i="2"/>
  <c r="L137" i="2"/>
  <c r="K137" i="2"/>
  <c r="H137" i="2"/>
  <c r="F137" i="2"/>
  <c r="E137" i="2"/>
  <c r="Z136" i="2"/>
  <c r="Y136" i="2"/>
  <c r="X136" i="2"/>
  <c r="T136" i="2"/>
  <c r="S136" i="2"/>
  <c r="V136" i="2" s="1"/>
  <c r="BT136" i="2" s="1"/>
  <c r="R136" i="2"/>
  <c r="Q136" i="2"/>
  <c r="W136" i="2" s="1"/>
  <c r="BR136" i="2" s="1"/>
  <c r="P136" i="2"/>
  <c r="O136" i="2"/>
  <c r="BN136" i="2" s="1"/>
  <c r="G136" i="2"/>
  <c r="BO135" i="2"/>
  <c r="Z135" i="2"/>
  <c r="Y135" i="2"/>
  <c r="T135" i="2"/>
  <c r="S135" i="2"/>
  <c r="V135" i="2" s="1"/>
  <c r="R135" i="2"/>
  <c r="Q135" i="2"/>
  <c r="W135" i="2" s="1"/>
  <c r="BR135" i="2" s="1"/>
  <c r="P135" i="2"/>
  <c r="O135" i="2"/>
  <c r="X135" i="2" s="1"/>
  <c r="J135" i="2"/>
  <c r="I135" i="2"/>
  <c r="G135" i="2"/>
  <c r="Z134" i="2"/>
  <c r="V134" i="2"/>
  <c r="BT134" i="2" s="1"/>
  <c r="T134" i="2"/>
  <c r="T132" i="2" s="1"/>
  <c r="S134" i="2"/>
  <c r="R134" i="2"/>
  <c r="Q134" i="2"/>
  <c r="W134" i="2" s="1"/>
  <c r="BR134" i="2" s="1"/>
  <c r="P134" i="2"/>
  <c r="Y134" i="2" s="1"/>
  <c r="O134" i="2"/>
  <c r="X134" i="2" s="1"/>
  <c r="J134" i="2"/>
  <c r="I134" i="2"/>
  <c r="G134" i="2"/>
  <c r="BT133" i="2"/>
  <c r="BN133" i="2"/>
  <c r="V133" i="2"/>
  <c r="T133" i="2"/>
  <c r="S133" i="2"/>
  <c r="R133" i="2"/>
  <c r="R132" i="2" s="1"/>
  <c r="Q133" i="2"/>
  <c r="Z133" i="2" s="1"/>
  <c r="P133" i="2"/>
  <c r="Y133" i="2" s="1"/>
  <c r="O133" i="2"/>
  <c r="G133" i="2"/>
  <c r="J133" i="2" s="1"/>
  <c r="BM132" i="2"/>
  <c r="BL132" i="2"/>
  <c r="BL127" i="2" s="1"/>
  <c r="BK132" i="2"/>
  <c r="BJ132" i="2"/>
  <c r="BI132" i="2"/>
  <c r="BH132" i="2"/>
  <c r="BG132" i="2"/>
  <c r="BF132" i="2"/>
  <c r="BF127" i="2" s="1"/>
  <c r="BE132" i="2"/>
  <c r="BD132" i="2"/>
  <c r="BC132" i="2"/>
  <c r="BB132" i="2"/>
  <c r="BA132" i="2"/>
  <c r="AZ132" i="2"/>
  <c r="AZ127" i="2" s="1"/>
  <c r="AY132" i="2"/>
  <c r="AX132" i="2"/>
  <c r="AW132" i="2"/>
  <c r="AV132" i="2"/>
  <c r="AU132" i="2"/>
  <c r="AT132" i="2"/>
  <c r="AT127" i="2" s="1"/>
  <c r="AS132" i="2"/>
  <c r="AR132" i="2"/>
  <c r="AQ132" i="2"/>
  <c r="AP132" i="2"/>
  <c r="AO132" i="2"/>
  <c r="AN132" i="2"/>
  <c r="AN127" i="2" s="1"/>
  <c r="AM132" i="2"/>
  <c r="AL132" i="2"/>
  <c r="AK132" i="2"/>
  <c r="AJ132" i="2"/>
  <c r="AI132" i="2"/>
  <c r="AH132" i="2"/>
  <c r="AH127" i="2" s="1"/>
  <c r="AG132" i="2"/>
  <c r="AF132" i="2"/>
  <c r="AE132" i="2"/>
  <c r="AD132" i="2"/>
  <c r="AC132" i="2"/>
  <c r="AB132" i="2"/>
  <c r="AB127" i="2" s="1"/>
  <c r="AA132" i="2"/>
  <c r="Y132" i="2"/>
  <c r="S132" i="2"/>
  <c r="P132" i="2"/>
  <c r="N132" i="2"/>
  <c r="M132" i="2"/>
  <c r="M127" i="2" s="1"/>
  <c r="L132" i="2"/>
  <c r="K132" i="2"/>
  <c r="H132" i="2"/>
  <c r="G132" i="2"/>
  <c r="F132" i="2"/>
  <c r="E132" i="2"/>
  <c r="BT131" i="2"/>
  <c r="V131" i="2"/>
  <c r="T131" i="2"/>
  <c r="S131" i="2"/>
  <c r="R131" i="2"/>
  <c r="Q131" i="2"/>
  <c r="Z131" i="2" s="1"/>
  <c r="P131" i="2"/>
  <c r="Y131" i="2" s="1"/>
  <c r="O131" i="2"/>
  <c r="X131" i="2" s="1"/>
  <c r="G131" i="2"/>
  <c r="J131" i="2" s="1"/>
  <c r="BU130" i="2"/>
  <c r="BO130" i="2"/>
  <c r="X130" i="2"/>
  <c r="V130" i="2"/>
  <c r="BT130" i="2" s="1"/>
  <c r="T130" i="2"/>
  <c r="S130" i="2"/>
  <c r="R130" i="2"/>
  <c r="Q130" i="2"/>
  <c r="Z130" i="2" s="1"/>
  <c r="P130" i="2"/>
  <c r="O130" i="2"/>
  <c r="BN130" i="2" s="1"/>
  <c r="BP130" i="2" s="1"/>
  <c r="I130" i="2"/>
  <c r="G130" i="2"/>
  <c r="J130" i="2" s="1"/>
  <c r="Y129" i="2"/>
  <c r="X129" i="2"/>
  <c r="W129" i="2"/>
  <c r="T129" i="2"/>
  <c r="T128" i="2" s="1"/>
  <c r="S129" i="2"/>
  <c r="V129" i="2" s="1"/>
  <c r="R129" i="2"/>
  <c r="Q129" i="2"/>
  <c r="P129" i="2"/>
  <c r="O129" i="2"/>
  <c r="BN129" i="2" s="1"/>
  <c r="J129" i="2"/>
  <c r="I129" i="2"/>
  <c r="G129" i="2"/>
  <c r="G128" i="2" s="1"/>
  <c r="BM128" i="2"/>
  <c r="BL128" i="2"/>
  <c r="BK128" i="2"/>
  <c r="BK127" i="2" s="1"/>
  <c r="BJ128" i="2"/>
  <c r="BI128" i="2"/>
  <c r="BH128" i="2"/>
  <c r="BH127" i="2" s="1"/>
  <c r="BG128" i="2"/>
  <c r="BF128" i="2"/>
  <c r="BE128" i="2"/>
  <c r="BE127" i="2" s="1"/>
  <c r="BD128" i="2"/>
  <c r="BC128" i="2"/>
  <c r="BB128" i="2"/>
  <c r="BB127" i="2" s="1"/>
  <c r="BA128" i="2"/>
  <c r="AZ128" i="2"/>
  <c r="AY128" i="2"/>
  <c r="AY127" i="2" s="1"/>
  <c r="AX128" i="2"/>
  <c r="AW128" i="2"/>
  <c r="AV128" i="2"/>
  <c r="AV127" i="2" s="1"/>
  <c r="AU128" i="2"/>
  <c r="AT128" i="2"/>
  <c r="AS128" i="2"/>
  <c r="AS127" i="2" s="1"/>
  <c r="AR128" i="2"/>
  <c r="AQ128" i="2"/>
  <c r="AP128" i="2"/>
  <c r="AP127" i="2" s="1"/>
  <c r="AO128" i="2"/>
  <c r="AN128" i="2"/>
  <c r="AM128" i="2"/>
  <c r="AM127" i="2" s="1"/>
  <c r="AL128" i="2"/>
  <c r="AK128" i="2"/>
  <c r="AJ128" i="2"/>
  <c r="AJ127" i="2" s="1"/>
  <c r="AI128" i="2"/>
  <c r="AH128" i="2"/>
  <c r="AG128" i="2"/>
  <c r="AG127" i="2" s="1"/>
  <c r="AF128" i="2"/>
  <c r="AE128" i="2"/>
  <c r="AD128" i="2"/>
  <c r="AD127" i="2" s="1"/>
  <c r="AC128" i="2"/>
  <c r="AB128" i="2"/>
  <c r="AA128" i="2"/>
  <c r="AA127" i="2" s="1"/>
  <c r="R128" i="2"/>
  <c r="N128" i="2"/>
  <c r="M128" i="2"/>
  <c r="L128" i="2"/>
  <c r="L127" i="2" s="1"/>
  <c r="K128" i="2"/>
  <c r="H128" i="2"/>
  <c r="F128" i="2"/>
  <c r="E128" i="2"/>
  <c r="AL127" i="2"/>
  <c r="H127" i="2"/>
  <c r="BU126" i="2"/>
  <c r="BO126" i="2"/>
  <c r="X126" i="2"/>
  <c r="V126" i="2"/>
  <c r="BT126" i="2" s="1"/>
  <c r="T126" i="2"/>
  <c r="S126" i="2"/>
  <c r="R126" i="2"/>
  <c r="Q126" i="2"/>
  <c r="Z126" i="2" s="1"/>
  <c r="P126" i="2"/>
  <c r="Y126" i="2" s="1"/>
  <c r="O126" i="2"/>
  <c r="BN126" i="2" s="1"/>
  <c r="BP126" i="2" s="1"/>
  <c r="I126" i="2"/>
  <c r="G126" i="2"/>
  <c r="J126" i="2" s="1"/>
  <c r="Y125" i="2"/>
  <c r="X125" i="2"/>
  <c r="W125" i="2"/>
  <c r="BR125" i="2" s="1"/>
  <c r="T125" i="2"/>
  <c r="S125" i="2"/>
  <c r="V125" i="2" s="1"/>
  <c r="BT125" i="2" s="1"/>
  <c r="R125" i="2"/>
  <c r="Q125" i="2"/>
  <c r="P125" i="2"/>
  <c r="O125" i="2"/>
  <c r="BN125" i="2" s="1"/>
  <c r="J125" i="2"/>
  <c r="I125" i="2"/>
  <c r="G125" i="2"/>
  <c r="Z124" i="2"/>
  <c r="Y124" i="2"/>
  <c r="X124" i="2"/>
  <c r="T124" i="2"/>
  <c r="S124" i="2"/>
  <c r="V124" i="2" s="1"/>
  <c r="BT124" i="2" s="1"/>
  <c r="R124" i="2"/>
  <c r="R122" i="2" s="1"/>
  <c r="Q124" i="2"/>
  <c r="W124" i="2" s="1"/>
  <c r="BR124" i="2" s="1"/>
  <c r="P124" i="2"/>
  <c r="O124" i="2"/>
  <c r="BN124" i="2" s="1"/>
  <c r="G124" i="2"/>
  <c r="BO123" i="2"/>
  <c r="Z123" i="2"/>
  <c r="Y123" i="2"/>
  <c r="T123" i="2"/>
  <c r="S123" i="2"/>
  <c r="R123" i="2"/>
  <c r="Q123" i="2"/>
  <c r="W123" i="2" s="1"/>
  <c r="BR123" i="2" s="1"/>
  <c r="P123" i="2"/>
  <c r="P122" i="2" s="1"/>
  <c r="O123" i="2"/>
  <c r="X123" i="2" s="1"/>
  <c r="J123" i="2"/>
  <c r="I123" i="2"/>
  <c r="G123" i="2"/>
  <c r="BM122" i="2"/>
  <c r="BM747" i="2" s="1"/>
  <c r="BL122" i="2"/>
  <c r="BK122" i="2"/>
  <c r="BJ122" i="2"/>
  <c r="BI122" i="2"/>
  <c r="BH122" i="2"/>
  <c r="BG122" i="2"/>
  <c r="BG747" i="2" s="1"/>
  <c r="BF122" i="2"/>
  <c r="BE122" i="2"/>
  <c r="BD122" i="2"/>
  <c r="BD747" i="2" s="1"/>
  <c r="BC122" i="2"/>
  <c r="BB122" i="2"/>
  <c r="BA122" i="2"/>
  <c r="BA747" i="2" s="1"/>
  <c r="AZ122" i="2"/>
  <c r="AY122" i="2"/>
  <c r="AX122" i="2"/>
  <c r="AX747" i="2" s="1"/>
  <c r="AW122" i="2"/>
  <c r="AV122" i="2"/>
  <c r="AU122" i="2"/>
  <c r="AU747" i="2" s="1"/>
  <c r="AT122" i="2"/>
  <c r="AS122" i="2"/>
  <c r="AR122" i="2"/>
  <c r="AR747" i="2" s="1"/>
  <c r="AQ122" i="2"/>
  <c r="AP122" i="2"/>
  <c r="AO122" i="2"/>
  <c r="AO747" i="2" s="1"/>
  <c r="AN122" i="2"/>
  <c r="AM122" i="2"/>
  <c r="AL122" i="2"/>
  <c r="AL747" i="2" s="1"/>
  <c r="AK122" i="2"/>
  <c r="AJ122" i="2"/>
  <c r="AI122" i="2"/>
  <c r="AI747" i="2" s="1"/>
  <c r="AH122" i="2"/>
  <c r="AG122" i="2"/>
  <c r="AF122" i="2"/>
  <c r="AF747" i="2" s="1"/>
  <c r="AE122" i="2"/>
  <c r="AD122" i="2"/>
  <c r="AC122" i="2"/>
  <c r="AC747" i="2" s="1"/>
  <c r="AB122" i="2"/>
  <c r="AA122" i="2"/>
  <c r="T122" i="2"/>
  <c r="Q122" i="2"/>
  <c r="N122" i="2"/>
  <c r="N747" i="2" s="1"/>
  <c r="M122" i="2"/>
  <c r="L122" i="2"/>
  <c r="L747" i="2" s="1"/>
  <c r="K122" i="2"/>
  <c r="K747" i="2" s="1"/>
  <c r="H122" i="2"/>
  <c r="H747" i="2" s="1"/>
  <c r="F122" i="2"/>
  <c r="F747" i="2" s="1"/>
  <c r="E122" i="2"/>
  <c r="E747" i="2" s="1"/>
  <c r="BN121" i="2"/>
  <c r="BP121" i="2" s="1"/>
  <c r="BB121" i="2"/>
  <c r="Z121" i="2"/>
  <c r="V121" i="2"/>
  <c r="V120" i="2" s="1"/>
  <c r="T121" i="2"/>
  <c r="T120" i="2" s="1"/>
  <c r="S121" i="2"/>
  <c r="R121" i="2"/>
  <c r="Q121" i="2"/>
  <c r="BO121" i="2" s="1"/>
  <c r="BO120" i="2" s="1"/>
  <c r="P121" i="2"/>
  <c r="Y121" i="2" s="1"/>
  <c r="O121" i="2"/>
  <c r="X121" i="2" s="1"/>
  <c r="J121" i="2"/>
  <c r="I121" i="2"/>
  <c r="BM120" i="2"/>
  <c r="BM746" i="2" s="1"/>
  <c r="BL120" i="2"/>
  <c r="BK120" i="2"/>
  <c r="BK746" i="2" s="1"/>
  <c r="BJ120" i="2"/>
  <c r="BJ746" i="2" s="1"/>
  <c r="BI120" i="2"/>
  <c r="BI746" i="2" s="1"/>
  <c r="BH120" i="2"/>
  <c r="BG120" i="2"/>
  <c r="BG746" i="2" s="1"/>
  <c r="BF120" i="2"/>
  <c r="BE120" i="2"/>
  <c r="BE746" i="2" s="1"/>
  <c r="BD120" i="2"/>
  <c r="BD746" i="2" s="1"/>
  <c r="BC120" i="2"/>
  <c r="BC746" i="2" s="1"/>
  <c r="BB120" i="2"/>
  <c r="BA120" i="2"/>
  <c r="BA746" i="2" s="1"/>
  <c r="AZ120" i="2"/>
  <c r="AY120" i="2"/>
  <c r="AY746" i="2" s="1"/>
  <c r="AX120" i="2"/>
  <c r="AX746" i="2" s="1"/>
  <c r="AW120" i="2"/>
  <c r="AW746" i="2" s="1"/>
  <c r="AV120" i="2"/>
  <c r="AU120" i="2"/>
  <c r="AU746" i="2" s="1"/>
  <c r="AT120" i="2"/>
  <c r="AS120" i="2"/>
  <c r="AS746" i="2" s="1"/>
  <c r="AR120" i="2"/>
  <c r="AR746" i="2" s="1"/>
  <c r="AQ120" i="2"/>
  <c r="AQ746" i="2" s="1"/>
  <c r="AP120" i="2"/>
  <c r="AO120" i="2"/>
  <c r="AO746" i="2" s="1"/>
  <c r="AN120" i="2"/>
  <c r="AM120" i="2"/>
  <c r="AM746" i="2" s="1"/>
  <c r="AL120" i="2"/>
  <c r="AL746" i="2" s="1"/>
  <c r="AK120" i="2"/>
  <c r="AK746" i="2" s="1"/>
  <c r="AJ120" i="2"/>
  <c r="AI120" i="2"/>
  <c r="AI746" i="2" s="1"/>
  <c r="AH120" i="2"/>
  <c r="AG120" i="2"/>
  <c r="AG746" i="2" s="1"/>
  <c r="AF120" i="2"/>
  <c r="AF746" i="2" s="1"/>
  <c r="AE120" i="2"/>
  <c r="AE746" i="2" s="1"/>
  <c r="AD120" i="2"/>
  <c r="AC120" i="2"/>
  <c r="AC746" i="2" s="1"/>
  <c r="AB120" i="2"/>
  <c r="AA120" i="2"/>
  <c r="AA746" i="2" s="1"/>
  <c r="S120" i="2"/>
  <c r="R120" i="2"/>
  <c r="Q120" i="2"/>
  <c r="N120" i="2"/>
  <c r="N746" i="2" s="1"/>
  <c r="M120" i="2"/>
  <c r="M746" i="2" s="1"/>
  <c r="L120" i="2"/>
  <c r="K120" i="2"/>
  <c r="K746" i="2" s="1"/>
  <c r="H120" i="2"/>
  <c r="H746" i="2" s="1"/>
  <c r="G120" i="2"/>
  <c r="F120" i="2"/>
  <c r="E120" i="2"/>
  <c r="E746" i="2" s="1"/>
  <c r="BN119" i="2"/>
  <c r="BN118" i="2" s="1"/>
  <c r="BE119" i="2"/>
  <c r="Z119" i="2"/>
  <c r="V119" i="2"/>
  <c r="BT119" i="2" s="1"/>
  <c r="BT118" i="2" s="1"/>
  <c r="BT745" i="2" s="1"/>
  <c r="T119" i="2"/>
  <c r="T118" i="2" s="1"/>
  <c r="T745" i="2" s="1"/>
  <c r="S119" i="2"/>
  <c r="R119" i="2"/>
  <c r="Q119" i="2"/>
  <c r="Q118" i="2" s="1"/>
  <c r="P119" i="2"/>
  <c r="Y119" i="2" s="1"/>
  <c r="O119" i="2"/>
  <c r="K119" i="2"/>
  <c r="G119" i="2"/>
  <c r="BM118" i="2"/>
  <c r="BM745" i="2" s="1"/>
  <c r="BL118" i="2"/>
  <c r="BL745" i="2" s="1"/>
  <c r="BK118" i="2"/>
  <c r="BK745" i="2" s="1"/>
  <c r="BJ118" i="2"/>
  <c r="BJ745" i="2" s="1"/>
  <c r="BI118" i="2"/>
  <c r="BI745" i="2" s="1"/>
  <c r="BH118" i="2"/>
  <c r="BH745" i="2" s="1"/>
  <c r="BG118" i="2"/>
  <c r="BG745" i="2" s="1"/>
  <c r="BF118" i="2"/>
  <c r="BF745" i="2" s="1"/>
  <c r="BE118" i="2"/>
  <c r="BE745" i="2" s="1"/>
  <c r="BD118" i="2"/>
  <c r="BD745" i="2" s="1"/>
  <c r="BC118" i="2"/>
  <c r="BC745" i="2" s="1"/>
  <c r="BB118" i="2"/>
  <c r="BB745" i="2" s="1"/>
  <c r="BA118" i="2"/>
  <c r="BA745" i="2" s="1"/>
  <c r="AZ118" i="2"/>
  <c r="AZ745" i="2" s="1"/>
  <c r="AY118" i="2"/>
  <c r="AY745" i="2" s="1"/>
  <c r="AX118" i="2"/>
  <c r="AW118" i="2"/>
  <c r="AW745" i="2" s="1"/>
  <c r="AV118" i="2"/>
  <c r="AV745" i="2" s="1"/>
  <c r="AU118" i="2"/>
  <c r="AU745" i="2" s="1"/>
  <c r="AT118" i="2"/>
  <c r="AT745" i="2" s="1"/>
  <c r="AS118" i="2"/>
  <c r="AS745" i="2" s="1"/>
  <c r="AR118" i="2"/>
  <c r="AR745" i="2" s="1"/>
  <c r="AQ118" i="2"/>
  <c r="AQ745" i="2" s="1"/>
  <c r="AP118" i="2"/>
  <c r="AP745" i="2" s="1"/>
  <c r="AO118" i="2"/>
  <c r="AO745" i="2" s="1"/>
  <c r="AN118" i="2"/>
  <c r="AN745" i="2" s="1"/>
  <c r="AM118" i="2"/>
  <c r="AM745" i="2" s="1"/>
  <c r="AL118" i="2"/>
  <c r="AL745" i="2" s="1"/>
  <c r="AK118" i="2"/>
  <c r="AK745" i="2" s="1"/>
  <c r="AJ118" i="2"/>
  <c r="AI118" i="2"/>
  <c r="AI745" i="2" s="1"/>
  <c r="AH118" i="2"/>
  <c r="AH745" i="2" s="1"/>
  <c r="AG118" i="2"/>
  <c r="AG745" i="2" s="1"/>
  <c r="AF118" i="2"/>
  <c r="AF745" i="2" s="1"/>
  <c r="AE118" i="2"/>
  <c r="AE745" i="2" s="1"/>
  <c r="AD118" i="2"/>
  <c r="AD745" i="2" s="1"/>
  <c r="AC118" i="2"/>
  <c r="AC745" i="2" s="1"/>
  <c r="AB118" i="2"/>
  <c r="AB745" i="2" s="1"/>
  <c r="AA118" i="2"/>
  <c r="AA745" i="2" s="1"/>
  <c r="Y118" i="2"/>
  <c r="V118" i="2"/>
  <c r="S118" i="2"/>
  <c r="S745" i="2" s="1"/>
  <c r="L180" i="3" s="1"/>
  <c r="R118" i="2"/>
  <c r="R745" i="2" s="1"/>
  <c r="P118" i="2"/>
  <c r="O118" i="2"/>
  <c r="N118" i="2"/>
  <c r="N745" i="2" s="1"/>
  <c r="M118" i="2"/>
  <c r="M745" i="2" s="1"/>
  <c r="L118" i="2"/>
  <c r="L745" i="2" s="1"/>
  <c r="H118" i="2"/>
  <c r="H745" i="2" s="1"/>
  <c r="G118" i="2"/>
  <c r="F118" i="2"/>
  <c r="F745" i="2" s="1"/>
  <c r="E118" i="2"/>
  <c r="E745" i="2" s="1"/>
  <c r="BQ117" i="2"/>
  <c r="BN117" i="2"/>
  <c r="BB117" i="2"/>
  <c r="Y117" i="2"/>
  <c r="X117" i="2"/>
  <c r="T117" i="2"/>
  <c r="S117" i="2"/>
  <c r="V117" i="2" s="1"/>
  <c r="BT117" i="2" s="1"/>
  <c r="R117" i="2"/>
  <c r="Q117" i="2"/>
  <c r="Z117" i="2" s="1"/>
  <c r="P117" i="2"/>
  <c r="O117" i="2"/>
  <c r="U117" i="2" s="1"/>
  <c r="I117" i="2"/>
  <c r="G117" i="2"/>
  <c r="J117" i="2" s="1"/>
  <c r="BE116" i="2"/>
  <c r="Z116" i="2"/>
  <c r="Y116" i="2"/>
  <c r="T116" i="2"/>
  <c r="S116" i="2"/>
  <c r="V116" i="2" s="1"/>
  <c r="BT116" i="2" s="1"/>
  <c r="R116" i="2"/>
  <c r="Q116" i="2"/>
  <c r="BO116" i="2" s="1"/>
  <c r="P116" i="2"/>
  <c r="O116" i="2"/>
  <c r="BN116" i="2" s="1"/>
  <c r="BP116" i="2" s="1"/>
  <c r="G116" i="2"/>
  <c r="BO115" i="2"/>
  <c r="Z115" i="2"/>
  <c r="T115" i="2"/>
  <c r="S115" i="2"/>
  <c r="V115" i="2" s="1"/>
  <c r="BT115" i="2" s="1"/>
  <c r="R115" i="2"/>
  <c r="Q115" i="2"/>
  <c r="W115" i="2" s="1"/>
  <c r="BR115" i="2" s="1"/>
  <c r="P115" i="2"/>
  <c r="Y115" i="2" s="1"/>
  <c r="O115" i="2"/>
  <c r="X115" i="2" s="1"/>
  <c r="J115" i="2"/>
  <c r="I115" i="2"/>
  <c r="G115" i="2"/>
  <c r="BO114" i="2"/>
  <c r="BH114" i="2"/>
  <c r="BE114" i="2"/>
  <c r="BC114" i="2"/>
  <c r="BB114" i="2"/>
  <c r="O114" i="2" s="1"/>
  <c r="J114" i="2" s="1"/>
  <c r="AZ114" i="2"/>
  <c r="AZ113" i="2" s="1"/>
  <c r="AZ744" i="2" s="1"/>
  <c r="Z114" i="2"/>
  <c r="T114" i="2"/>
  <c r="S114" i="2"/>
  <c r="S113" i="2" s="1"/>
  <c r="R114" i="2"/>
  <c r="Q114" i="2"/>
  <c r="W114" i="2" s="1"/>
  <c r="P114" i="2"/>
  <c r="K114" i="2"/>
  <c r="I114" i="2" s="1"/>
  <c r="G114" i="2"/>
  <c r="BM113" i="2"/>
  <c r="BL113" i="2"/>
  <c r="BL744" i="2" s="1"/>
  <c r="BK113" i="2"/>
  <c r="BK744" i="2" s="1"/>
  <c r="BJ113" i="2"/>
  <c r="BJ744" i="2" s="1"/>
  <c r="BI113" i="2"/>
  <c r="BI744" i="2" s="1"/>
  <c r="BH113" i="2"/>
  <c r="BH744" i="2" s="1"/>
  <c r="BG113" i="2"/>
  <c r="BG744" i="2" s="1"/>
  <c r="BF113" i="2"/>
  <c r="BF744" i="2" s="1"/>
  <c r="BE113" i="2"/>
  <c r="BE744" i="2" s="1"/>
  <c r="BD113" i="2"/>
  <c r="BD744" i="2" s="1"/>
  <c r="BC113" i="2"/>
  <c r="BC744" i="2" s="1"/>
  <c r="BA113" i="2"/>
  <c r="BA744" i="2" s="1"/>
  <c r="AY113" i="2"/>
  <c r="AY744" i="2" s="1"/>
  <c r="AX113" i="2"/>
  <c r="AX744" i="2" s="1"/>
  <c r="AW113" i="2"/>
  <c r="AW744" i="2" s="1"/>
  <c r="AV113" i="2"/>
  <c r="AV744" i="2" s="1"/>
  <c r="AU113" i="2"/>
  <c r="AU744" i="2" s="1"/>
  <c r="AT113" i="2"/>
  <c r="AT744" i="2" s="1"/>
  <c r="AS113" i="2"/>
  <c r="AS744" i="2" s="1"/>
  <c r="AR113" i="2"/>
  <c r="AR744" i="2" s="1"/>
  <c r="AQ113" i="2"/>
  <c r="AQ744" i="2" s="1"/>
  <c r="AP113" i="2"/>
  <c r="AP744" i="2" s="1"/>
  <c r="AO113" i="2"/>
  <c r="AO744" i="2" s="1"/>
  <c r="AN113" i="2"/>
  <c r="AN744" i="2" s="1"/>
  <c r="AM113" i="2"/>
  <c r="AM744" i="2" s="1"/>
  <c r="AL113" i="2"/>
  <c r="AL744" i="2" s="1"/>
  <c r="AK113" i="2"/>
  <c r="AK744" i="2" s="1"/>
  <c r="AJ113" i="2"/>
  <c r="AJ744" i="2" s="1"/>
  <c r="AI113" i="2"/>
  <c r="AI744" i="2" s="1"/>
  <c r="AH113" i="2"/>
  <c r="AH744" i="2" s="1"/>
  <c r="AG113" i="2"/>
  <c r="AG744" i="2" s="1"/>
  <c r="AF113" i="2"/>
  <c r="AF744" i="2" s="1"/>
  <c r="AE113" i="2"/>
  <c r="AE744" i="2" s="1"/>
  <c r="AD113" i="2"/>
  <c r="AD744" i="2" s="1"/>
  <c r="AC113" i="2"/>
  <c r="AC744" i="2" s="1"/>
  <c r="AB113" i="2"/>
  <c r="AB744" i="2" s="1"/>
  <c r="AA113" i="2"/>
  <c r="AA744" i="2" s="1"/>
  <c r="Z113" i="2"/>
  <c r="T113" i="2"/>
  <c r="R113" i="2"/>
  <c r="R744" i="2" s="1"/>
  <c r="Q113" i="2"/>
  <c r="N113" i="2"/>
  <c r="N744" i="2" s="1"/>
  <c r="M113" i="2"/>
  <c r="M744" i="2" s="1"/>
  <c r="L113" i="2"/>
  <c r="L744" i="2" s="1"/>
  <c r="K113" i="2"/>
  <c r="K744" i="2" s="1"/>
  <c r="H113" i="2"/>
  <c r="H744" i="2" s="1"/>
  <c r="F113" i="2"/>
  <c r="F744" i="2" s="1"/>
  <c r="E113" i="2"/>
  <c r="E744" i="2" s="1"/>
  <c r="V112" i="2"/>
  <c r="BT112" i="2" s="1"/>
  <c r="T112" i="2"/>
  <c r="S112" i="2"/>
  <c r="R112" i="2"/>
  <c r="Q112" i="2"/>
  <c r="BO112" i="2" s="1"/>
  <c r="P112" i="2"/>
  <c r="Y112" i="2" s="1"/>
  <c r="O112" i="2"/>
  <c r="X112" i="2" s="1"/>
  <c r="J112" i="2"/>
  <c r="I112" i="2"/>
  <c r="G112" i="2"/>
  <c r="BH111" i="2"/>
  <c r="BE111" i="2"/>
  <c r="BB111" i="2"/>
  <c r="BB108" i="2" s="1"/>
  <c r="BB743" i="2" s="1"/>
  <c r="AY111" i="2"/>
  <c r="AY108" i="2" s="1"/>
  <c r="AY743" i="2" s="1"/>
  <c r="AV111" i="2"/>
  <c r="AM111" i="2"/>
  <c r="AE111" i="2"/>
  <c r="T111" i="2"/>
  <c r="S111" i="2"/>
  <c r="S108" i="2" s="1"/>
  <c r="R111" i="2"/>
  <c r="Q111" i="2"/>
  <c r="Z111" i="2" s="1"/>
  <c r="P111" i="2"/>
  <c r="Y111" i="2" s="1"/>
  <c r="K111" i="2"/>
  <c r="I111" i="2"/>
  <c r="G111" i="2"/>
  <c r="BN110" i="2"/>
  <c r="BP110" i="2" s="1"/>
  <c r="BU110" i="2" s="1"/>
  <c r="BH110" i="2"/>
  <c r="BH108" i="2" s="1"/>
  <c r="BH743" i="2" s="1"/>
  <c r="Z110" i="2"/>
  <c r="V110" i="2"/>
  <c r="BT110" i="2" s="1"/>
  <c r="T110" i="2"/>
  <c r="S110" i="2"/>
  <c r="R110" i="2"/>
  <c r="Q110" i="2"/>
  <c r="BO110" i="2" s="1"/>
  <c r="P110" i="2"/>
  <c r="Y110" i="2" s="1"/>
  <c r="O110" i="2"/>
  <c r="X110" i="2" s="1"/>
  <c r="K110" i="2"/>
  <c r="J110" i="2"/>
  <c r="I110" i="2"/>
  <c r="G110" i="2"/>
  <c r="BO109" i="2"/>
  <c r="BN109" i="2"/>
  <c r="AV109" i="2"/>
  <c r="AM109" i="2"/>
  <c r="AH109" i="2"/>
  <c r="Z109" i="2"/>
  <c r="T109" i="2"/>
  <c r="T108" i="2" s="1"/>
  <c r="S109" i="2"/>
  <c r="V109" i="2" s="1"/>
  <c r="R109" i="2"/>
  <c r="R108" i="2" s="1"/>
  <c r="R743" i="2" s="1"/>
  <c r="Q109" i="2"/>
  <c r="W109" i="2" s="1"/>
  <c r="BR109" i="2" s="1"/>
  <c r="O109" i="2"/>
  <c r="K109" i="2"/>
  <c r="K108" i="2" s="1"/>
  <c r="J109" i="2"/>
  <c r="I109" i="2"/>
  <c r="G109" i="2"/>
  <c r="BM108" i="2"/>
  <c r="BM743" i="2" s="1"/>
  <c r="BL108" i="2"/>
  <c r="BL743" i="2" s="1"/>
  <c r="BK108" i="2"/>
  <c r="BK743" i="2" s="1"/>
  <c r="BJ108" i="2"/>
  <c r="BJ743" i="2" s="1"/>
  <c r="BI108" i="2"/>
  <c r="BI743" i="2" s="1"/>
  <c r="BG108" i="2"/>
  <c r="BG743" i="2" s="1"/>
  <c r="BF108" i="2"/>
  <c r="BF743" i="2" s="1"/>
  <c r="BE108" i="2"/>
  <c r="BE743" i="2" s="1"/>
  <c r="BD108" i="2"/>
  <c r="BD743" i="2" s="1"/>
  <c r="BC108" i="2"/>
  <c r="BC743" i="2" s="1"/>
  <c r="BA108" i="2"/>
  <c r="BA743" i="2" s="1"/>
  <c r="AZ108" i="2"/>
  <c r="AZ743" i="2" s="1"/>
  <c r="AX108" i="2"/>
  <c r="AX743" i="2" s="1"/>
  <c r="AW108" i="2"/>
  <c r="AW743" i="2" s="1"/>
  <c r="AV108" i="2"/>
  <c r="AV743" i="2" s="1"/>
  <c r="AU108" i="2"/>
  <c r="AU743" i="2" s="1"/>
  <c r="AT108" i="2"/>
  <c r="AT743" i="2" s="1"/>
  <c r="AS108" i="2"/>
  <c r="AS743" i="2" s="1"/>
  <c r="AR108" i="2"/>
  <c r="AR743" i="2" s="1"/>
  <c r="AQ108" i="2"/>
  <c r="AQ743" i="2" s="1"/>
  <c r="AP108" i="2"/>
  <c r="AP743" i="2" s="1"/>
  <c r="AO108" i="2"/>
  <c r="AO743" i="2" s="1"/>
  <c r="AN108" i="2"/>
  <c r="AN743" i="2" s="1"/>
  <c r="AL108" i="2"/>
  <c r="AL743" i="2" s="1"/>
  <c r="AK108" i="2"/>
  <c r="AK743" i="2" s="1"/>
  <c r="AJ108" i="2"/>
  <c r="AJ743" i="2" s="1"/>
  <c r="AI108" i="2"/>
  <c r="AI743" i="2" s="1"/>
  <c r="AG108" i="2"/>
  <c r="AG743" i="2" s="1"/>
  <c r="AF108" i="2"/>
  <c r="AF743" i="2" s="1"/>
  <c r="AE108" i="2"/>
  <c r="AE743" i="2" s="1"/>
  <c r="AD108" i="2"/>
  <c r="AD743" i="2" s="1"/>
  <c r="AC108" i="2"/>
  <c r="AC743" i="2" s="1"/>
  <c r="AB108" i="2"/>
  <c r="AB743" i="2" s="1"/>
  <c r="AA108" i="2"/>
  <c r="AA743" i="2" s="1"/>
  <c r="Z108" i="2"/>
  <c r="Q108" i="2"/>
  <c r="N108" i="2"/>
  <c r="N743" i="2" s="1"/>
  <c r="M108" i="2"/>
  <c r="M743" i="2" s="1"/>
  <c r="L108" i="2"/>
  <c r="H108" i="2"/>
  <c r="H743" i="2" s="1"/>
  <c r="G108" i="2"/>
  <c r="F108" i="2"/>
  <c r="F743" i="2" s="1"/>
  <c r="E108" i="2"/>
  <c r="E743" i="2" s="1"/>
  <c r="BR107" i="2"/>
  <c r="BO107" i="2"/>
  <c r="BE107" i="2"/>
  <c r="BB107" i="2"/>
  <c r="AY107" i="2"/>
  <c r="AP107" i="2"/>
  <c r="AG107" i="2"/>
  <c r="O107" i="2" s="1"/>
  <c r="AE107" i="2"/>
  <c r="P107" i="2" s="1"/>
  <c r="Y107" i="2" s="1"/>
  <c r="Z107" i="2"/>
  <c r="T107" i="2"/>
  <c r="S107" i="2"/>
  <c r="V107" i="2" s="1"/>
  <c r="BT107" i="2" s="1"/>
  <c r="R107" i="2"/>
  <c r="Q107" i="2"/>
  <c r="W107" i="2" s="1"/>
  <c r="I107" i="2"/>
  <c r="G107" i="2"/>
  <c r="W106" i="2"/>
  <c r="BR106" i="2" s="1"/>
  <c r="V106" i="2"/>
  <c r="BT106" i="2" s="1"/>
  <c r="T106" i="2"/>
  <c r="T104" i="2" s="1"/>
  <c r="S106" i="2"/>
  <c r="R106" i="2"/>
  <c r="Q106" i="2"/>
  <c r="Q104" i="2" s="1"/>
  <c r="P106" i="2"/>
  <c r="Y106" i="2" s="1"/>
  <c r="O106" i="2"/>
  <c r="X106" i="2" s="1"/>
  <c r="K106" i="2"/>
  <c r="U106" i="2" s="1"/>
  <c r="BQ106" i="2" s="1"/>
  <c r="BS106" i="2" s="1"/>
  <c r="BV106" i="2" s="1"/>
  <c r="G106" i="2"/>
  <c r="BO105" i="2"/>
  <c r="BB105" i="2"/>
  <c r="AY105" i="2"/>
  <c r="AV105" i="2"/>
  <c r="AV104" i="2" s="1"/>
  <c r="AV742" i="2" s="1"/>
  <c r="AP105" i="2"/>
  <c r="O105" i="2" s="1"/>
  <c r="BN105" i="2" s="1"/>
  <c r="BP105" i="2" s="1"/>
  <c r="AE105" i="2"/>
  <c r="AB105" i="2"/>
  <c r="V105" i="2"/>
  <c r="T105" i="2"/>
  <c r="S105" i="2"/>
  <c r="R105" i="2"/>
  <c r="Q105" i="2"/>
  <c r="Z105" i="2" s="1"/>
  <c r="P105" i="2"/>
  <c r="K105" i="2"/>
  <c r="I105" i="2"/>
  <c r="G105" i="2"/>
  <c r="BM104" i="2"/>
  <c r="BM742" i="2" s="1"/>
  <c r="BL104" i="2"/>
  <c r="BL742" i="2" s="1"/>
  <c r="BK104" i="2"/>
  <c r="BK742" i="2" s="1"/>
  <c r="BJ104" i="2"/>
  <c r="BI104" i="2"/>
  <c r="BI742" i="2" s="1"/>
  <c r="BH104" i="2"/>
  <c r="BH742" i="2" s="1"/>
  <c r="BG104" i="2"/>
  <c r="BG742" i="2" s="1"/>
  <c r="BF104" i="2"/>
  <c r="BF742" i="2" s="1"/>
  <c r="BE104" i="2"/>
  <c r="BE742" i="2" s="1"/>
  <c r="BD104" i="2"/>
  <c r="BD742" i="2" s="1"/>
  <c r="BC104" i="2"/>
  <c r="BC742" i="2" s="1"/>
  <c r="BB104" i="2"/>
  <c r="BB742" i="2" s="1"/>
  <c r="BA104" i="2"/>
  <c r="BA742" i="2" s="1"/>
  <c r="AZ104" i="2"/>
  <c r="AZ742" i="2" s="1"/>
  <c r="AY104" i="2"/>
  <c r="AY742" i="2" s="1"/>
  <c r="AX104" i="2"/>
  <c r="AX742" i="2" s="1"/>
  <c r="AW104" i="2"/>
  <c r="AW742" i="2" s="1"/>
  <c r="AU104" i="2"/>
  <c r="AU742" i="2" s="1"/>
  <c r="AT104" i="2"/>
  <c r="AT742" i="2" s="1"/>
  <c r="AS104" i="2"/>
  <c r="AS742" i="2" s="1"/>
  <c r="AR104" i="2"/>
  <c r="AR742" i="2" s="1"/>
  <c r="AQ104" i="2"/>
  <c r="AQ742" i="2" s="1"/>
  <c r="AP104" i="2"/>
  <c r="AP742" i="2" s="1"/>
  <c r="AO104" i="2"/>
  <c r="AO742" i="2" s="1"/>
  <c r="AN104" i="2"/>
  <c r="AN742" i="2" s="1"/>
  <c r="AM104" i="2"/>
  <c r="AM742" i="2" s="1"/>
  <c r="AL104" i="2"/>
  <c r="AL742" i="2" s="1"/>
  <c r="AK104" i="2"/>
  <c r="AK742" i="2" s="1"/>
  <c r="AJ104" i="2"/>
  <c r="AJ742" i="2" s="1"/>
  <c r="AI104" i="2"/>
  <c r="AI742" i="2" s="1"/>
  <c r="AH104" i="2"/>
  <c r="AH742" i="2" s="1"/>
  <c r="AG104" i="2"/>
  <c r="AG742" i="2" s="1"/>
  <c r="AF104" i="2"/>
  <c r="AF742" i="2" s="1"/>
  <c r="AD104" i="2"/>
  <c r="AD742" i="2" s="1"/>
  <c r="AC104" i="2"/>
  <c r="AC742" i="2" s="1"/>
  <c r="AB104" i="2"/>
  <c r="AB742" i="2" s="1"/>
  <c r="AA104" i="2"/>
  <c r="AA742" i="2" s="1"/>
  <c r="R104" i="2"/>
  <c r="N104" i="2"/>
  <c r="M104" i="2"/>
  <c r="M742" i="2" s="1"/>
  <c r="L104" i="2"/>
  <c r="L742" i="2" s="1"/>
  <c r="K104" i="2"/>
  <c r="K742" i="2" s="1"/>
  <c r="H104" i="2"/>
  <c r="H742" i="2" s="1"/>
  <c r="F104" i="2"/>
  <c r="F742" i="2" s="1"/>
  <c r="E104" i="2"/>
  <c r="E742" i="2" s="1"/>
  <c r="AZ103" i="2"/>
  <c r="P103" i="2" s="1"/>
  <c r="Y103" i="2" s="1"/>
  <c r="Z103" i="2"/>
  <c r="T103" i="2"/>
  <c r="S103" i="2"/>
  <c r="R103" i="2"/>
  <c r="Q103" i="2"/>
  <c r="BO103" i="2" s="1"/>
  <c r="O103" i="2"/>
  <c r="X103" i="2" s="1"/>
  <c r="M103" i="2"/>
  <c r="V103" i="2" s="1"/>
  <c r="BT103" i="2" s="1"/>
  <c r="I103" i="2"/>
  <c r="G103" i="2"/>
  <c r="W102" i="2"/>
  <c r="BR102" i="2" s="1"/>
  <c r="V102" i="2"/>
  <c r="BT102" i="2" s="1"/>
  <c r="T102" i="2"/>
  <c r="T76" i="2" s="1"/>
  <c r="S102" i="2"/>
  <c r="R102" i="2"/>
  <c r="Q102" i="2"/>
  <c r="BO102" i="2" s="1"/>
  <c r="P102" i="2"/>
  <c r="Y102" i="2" s="1"/>
  <c r="O102" i="2"/>
  <c r="X102" i="2" s="1"/>
  <c r="J102" i="2"/>
  <c r="I102" i="2"/>
  <c r="G102" i="2"/>
  <c r="BT101" i="2"/>
  <c r="W101" i="2"/>
  <c r="BR101" i="2" s="1"/>
  <c r="T101" i="2"/>
  <c r="S101" i="2"/>
  <c r="V101" i="2" s="1"/>
  <c r="R101" i="2"/>
  <c r="Q101" i="2"/>
  <c r="P101" i="2"/>
  <c r="Y101" i="2" s="1"/>
  <c r="O101" i="2"/>
  <c r="BN101" i="2" s="1"/>
  <c r="K101" i="2"/>
  <c r="I101" i="2"/>
  <c r="G101" i="2"/>
  <c r="J101" i="2" s="1"/>
  <c r="BR100" i="2"/>
  <c r="BP100" i="2"/>
  <c r="Y100" i="2"/>
  <c r="W100" i="2"/>
  <c r="T100" i="2"/>
  <c r="S100" i="2"/>
  <c r="R100" i="2"/>
  <c r="Q100" i="2"/>
  <c r="BO100" i="2" s="1"/>
  <c r="P100" i="2"/>
  <c r="O100" i="2"/>
  <c r="BN100" i="2" s="1"/>
  <c r="M100" i="2"/>
  <c r="V100" i="2" s="1"/>
  <c r="BT100" i="2" s="1"/>
  <c r="K100" i="2"/>
  <c r="U100" i="2" s="1"/>
  <c r="BQ100" i="2" s="1"/>
  <c r="BS100" i="2" s="1"/>
  <c r="BV100" i="2" s="1"/>
  <c r="I100" i="2"/>
  <c r="G100" i="2"/>
  <c r="J100" i="2" s="1"/>
  <c r="BO99" i="2"/>
  <c r="V99" i="2"/>
  <c r="BT99" i="2" s="1"/>
  <c r="T99" i="2"/>
  <c r="S99" i="2"/>
  <c r="R99" i="2"/>
  <c r="Q99" i="2"/>
  <c r="W99" i="2" s="1"/>
  <c r="BR99" i="2" s="1"/>
  <c r="P99" i="2"/>
  <c r="Y99" i="2" s="1"/>
  <c r="O99" i="2"/>
  <c r="X99" i="2" s="1"/>
  <c r="J99" i="2"/>
  <c r="I99" i="2"/>
  <c r="G99" i="2"/>
  <c r="BN98" i="2"/>
  <c r="T98" i="2"/>
  <c r="S98" i="2"/>
  <c r="V98" i="2" s="1"/>
  <c r="BT98" i="2" s="1"/>
  <c r="R98" i="2"/>
  <c r="Q98" i="2"/>
  <c r="P98" i="2"/>
  <c r="Y98" i="2" s="1"/>
  <c r="O98" i="2"/>
  <c r="U98" i="2" s="1"/>
  <c r="BQ98" i="2" s="1"/>
  <c r="G98" i="2"/>
  <c r="BO97" i="2"/>
  <c r="Y97" i="2"/>
  <c r="X97" i="2"/>
  <c r="V97" i="2"/>
  <c r="BT97" i="2" s="1"/>
  <c r="T97" i="2"/>
  <c r="S97" i="2"/>
  <c r="R97" i="2"/>
  <c r="Q97" i="2"/>
  <c r="Z97" i="2" s="1"/>
  <c r="P97" i="2"/>
  <c r="O97" i="2"/>
  <c r="BN97" i="2" s="1"/>
  <c r="BP97" i="2" s="1"/>
  <c r="I97" i="2"/>
  <c r="G97" i="2"/>
  <c r="J97" i="2" s="1"/>
  <c r="BH96" i="2"/>
  <c r="BE96" i="2"/>
  <c r="BB96" i="2"/>
  <c r="V96" i="2"/>
  <c r="BT96" i="2" s="1"/>
  <c r="T96" i="2"/>
  <c r="S96" i="2"/>
  <c r="R96" i="2"/>
  <c r="Q96" i="2"/>
  <c r="BO96" i="2" s="1"/>
  <c r="P96" i="2"/>
  <c r="Y96" i="2" s="1"/>
  <c r="K96" i="2"/>
  <c r="G96" i="2"/>
  <c r="BO95" i="2"/>
  <c r="BC95" i="2"/>
  <c r="AZ95" i="2"/>
  <c r="AT95" i="2"/>
  <c r="AT76" i="2" s="1"/>
  <c r="AT741" i="2" s="1"/>
  <c r="AK95" i="2"/>
  <c r="W95" i="2"/>
  <c r="BR95" i="2" s="1"/>
  <c r="V95" i="2"/>
  <c r="BT95" i="2" s="1"/>
  <c r="T95" i="2"/>
  <c r="S95" i="2"/>
  <c r="R95" i="2"/>
  <c r="Q95" i="2"/>
  <c r="Z95" i="2" s="1"/>
  <c r="P95" i="2"/>
  <c r="Y95" i="2" s="1"/>
  <c r="O95" i="2"/>
  <c r="BN95" i="2" s="1"/>
  <c r="J95" i="2"/>
  <c r="G95" i="2"/>
  <c r="I95" i="2" s="1"/>
  <c r="BT94" i="2"/>
  <c r="T94" i="2"/>
  <c r="S94" i="2"/>
  <c r="V94" i="2" s="1"/>
  <c r="R94" i="2"/>
  <c r="Q94" i="2"/>
  <c r="W94" i="2" s="1"/>
  <c r="BR94" i="2" s="1"/>
  <c r="P94" i="2"/>
  <c r="Y94" i="2" s="1"/>
  <c r="O94" i="2"/>
  <c r="BN94" i="2" s="1"/>
  <c r="G94" i="2"/>
  <c r="BO93" i="2"/>
  <c r="BH93" i="2"/>
  <c r="Y93" i="2"/>
  <c r="W93" i="2"/>
  <c r="BR93" i="2" s="1"/>
  <c r="T93" i="2"/>
  <c r="S93" i="2"/>
  <c r="V93" i="2" s="1"/>
  <c r="BT93" i="2" s="1"/>
  <c r="R93" i="2"/>
  <c r="Q93" i="2"/>
  <c r="Z93" i="2" s="1"/>
  <c r="P93" i="2"/>
  <c r="O93" i="2"/>
  <c r="BN93" i="2" s="1"/>
  <c r="K93" i="2"/>
  <c r="U93" i="2" s="1"/>
  <c r="BQ93" i="2" s="1"/>
  <c r="J93" i="2"/>
  <c r="G93" i="2"/>
  <c r="I93" i="2" s="1"/>
  <c r="BR92" i="2"/>
  <c r="BO92" i="2"/>
  <c r="BN92" i="2"/>
  <c r="BP92" i="2" s="1"/>
  <c r="BH92" i="2"/>
  <c r="W92" i="2"/>
  <c r="V92" i="2"/>
  <c r="BT92" i="2" s="1"/>
  <c r="T92" i="2"/>
  <c r="S92" i="2"/>
  <c r="R92" i="2"/>
  <c r="Q92" i="2"/>
  <c r="Z92" i="2" s="1"/>
  <c r="P92" i="2"/>
  <c r="Y92" i="2" s="1"/>
  <c r="O92" i="2"/>
  <c r="X92" i="2" s="1"/>
  <c r="K92" i="2"/>
  <c r="U92" i="2" s="1"/>
  <c r="BQ92" i="2" s="1"/>
  <c r="BS92" i="2" s="1"/>
  <c r="BV92" i="2" s="1"/>
  <c r="G92" i="2"/>
  <c r="BO91" i="2"/>
  <c r="AE91" i="2"/>
  <c r="Y91" i="2"/>
  <c r="W91" i="2"/>
  <c r="BR91" i="2" s="1"/>
  <c r="T91" i="2"/>
  <c r="S91" i="2"/>
  <c r="V91" i="2" s="1"/>
  <c r="BT91" i="2" s="1"/>
  <c r="R91" i="2"/>
  <c r="Q91" i="2"/>
  <c r="Z91" i="2" s="1"/>
  <c r="P91" i="2"/>
  <c r="O91" i="2"/>
  <c r="BN91" i="2" s="1"/>
  <c r="J91" i="2"/>
  <c r="I91" i="2"/>
  <c r="G91" i="2"/>
  <c r="BN90" i="2"/>
  <c r="Z90" i="2"/>
  <c r="X90" i="2"/>
  <c r="T90" i="2"/>
  <c r="S90" i="2"/>
  <c r="V90" i="2" s="1"/>
  <c r="BT90" i="2" s="1"/>
  <c r="R90" i="2"/>
  <c r="Q90" i="2"/>
  <c r="W90" i="2" s="1"/>
  <c r="BR90" i="2" s="1"/>
  <c r="P90" i="2"/>
  <c r="Y90" i="2" s="1"/>
  <c r="O90" i="2"/>
  <c r="U90" i="2" s="1"/>
  <c r="BQ90" i="2" s="1"/>
  <c r="BS90" i="2" s="1"/>
  <c r="BV90" i="2" s="1"/>
  <c r="G90" i="2"/>
  <c r="I90" i="2" s="1"/>
  <c r="BN89" i="2"/>
  <c r="BL89" i="2"/>
  <c r="BI89" i="2"/>
  <c r="P89" i="2" s="1"/>
  <c r="Y89" i="2" s="1"/>
  <c r="AW89" i="2"/>
  <c r="AQ89" i="2"/>
  <c r="W89" i="2"/>
  <c r="BR89" i="2" s="1"/>
  <c r="T89" i="2"/>
  <c r="S89" i="2"/>
  <c r="V89" i="2" s="1"/>
  <c r="BT89" i="2" s="1"/>
  <c r="R89" i="2"/>
  <c r="Q89" i="2"/>
  <c r="BO89" i="2" s="1"/>
  <c r="O89" i="2"/>
  <c r="U89" i="2" s="1"/>
  <c r="BQ89" i="2" s="1"/>
  <c r="J89" i="2"/>
  <c r="I89" i="2"/>
  <c r="G89" i="2"/>
  <c r="BN88" i="2"/>
  <c r="Z88" i="2"/>
  <c r="X88" i="2"/>
  <c r="T88" i="2"/>
  <c r="S88" i="2"/>
  <c r="V88" i="2" s="1"/>
  <c r="BT88" i="2" s="1"/>
  <c r="R88" i="2"/>
  <c r="Q88" i="2"/>
  <c r="W88" i="2" s="1"/>
  <c r="BR88" i="2" s="1"/>
  <c r="P88" i="2"/>
  <c r="Y88" i="2" s="1"/>
  <c r="O88" i="2"/>
  <c r="K88" i="2"/>
  <c r="U88" i="2" s="1"/>
  <c r="BQ88" i="2" s="1"/>
  <c r="BS88" i="2" s="1"/>
  <c r="BV88" i="2" s="1"/>
  <c r="I88" i="2"/>
  <c r="G88" i="2"/>
  <c r="J88" i="2" s="1"/>
  <c r="W87" i="2"/>
  <c r="BR87" i="2" s="1"/>
  <c r="V87" i="2"/>
  <c r="BT87" i="2" s="1"/>
  <c r="T87" i="2"/>
  <c r="S87" i="2"/>
  <c r="R87" i="2"/>
  <c r="Q87" i="2"/>
  <c r="BO87" i="2" s="1"/>
  <c r="P87" i="2"/>
  <c r="Y87" i="2" s="1"/>
  <c r="O87" i="2"/>
  <c r="X87" i="2" s="1"/>
  <c r="K87" i="2"/>
  <c r="U87" i="2" s="1"/>
  <c r="BQ87" i="2" s="1"/>
  <c r="BS87" i="2" s="1"/>
  <c r="BV87" i="2" s="1"/>
  <c r="G87" i="2"/>
  <c r="BR86" i="2"/>
  <c r="BH86" i="2"/>
  <c r="BE86" i="2"/>
  <c r="BE76" i="2" s="1"/>
  <c r="AY86" i="2"/>
  <c r="AY76" i="2" s="1"/>
  <c r="AY741" i="2" s="1"/>
  <c r="AV86" i="2"/>
  <c r="AP86" i="2"/>
  <c r="W86" i="2"/>
  <c r="T86" i="2"/>
  <c r="S86" i="2"/>
  <c r="V86" i="2" s="1"/>
  <c r="BT86" i="2" s="1"/>
  <c r="R86" i="2"/>
  <c r="Q86" i="2"/>
  <c r="Z86" i="2" s="1"/>
  <c r="P86" i="2"/>
  <c r="Y86" i="2" s="1"/>
  <c r="K86" i="2"/>
  <c r="I86" i="2"/>
  <c r="G86" i="2"/>
  <c r="Y85" i="2"/>
  <c r="T85" i="2"/>
  <c r="S85" i="2"/>
  <c r="V85" i="2" s="1"/>
  <c r="BT85" i="2" s="1"/>
  <c r="R85" i="2"/>
  <c r="Q85" i="2"/>
  <c r="BO85" i="2" s="1"/>
  <c r="BP85" i="2" s="1"/>
  <c r="P85" i="2"/>
  <c r="O85" i="2"/>
  <c r="BN85" i="2" s="1"/>
  <c r="J85" i="2"/>
  <c r="I85" i="2"/>
  <c r="G85" i="2"/>
  <c r="BH84" i="2"/>
  <c r="BH76" i="2" s="1"/>
  <c r="BH741" i="2" s="1"/>
  <c r="BB84" i="2"/>
  <c r="AP84" i="2"/>
  <c r="W84" i="2"/>
  <c r="BR84" i="2" s="1"/>
  <c r="T84" i="2"/>
  <c r="S84" i="2"/>
  <c r="V84" i="2" s="1"/>
  <c r="BT84" i="2" s="1"/>
  <c r="R84" i="2"/>
  <c r="Q84" i="2"/>
  <c r="P84" i="2"/>
  <c r="Y84" i="2" s="1"/>
  <c r="G84" i="2"/>
  <c r="AZ83" i="2"/>
  <c r="Y83" i="2"/>
  <c r="T83" i="2"/>
  <c r="S83" i="2"/>
  <c r="V83" i="2" s="1"/>
  <c r="BT83" i="2" s="1"/>
  <c r="R83" i="2"/>
  <c r="Q83" i="2"/>
  <c r="W83" i="2" s="1"/>
  <c r="BR83" i="2" s="1"/>
  <c r="P83" i="2"/>
  <c r="O83" i="2"/>
  <c r="BN83" i="2" s="1"/>
  <c r="J83" i="2"/>
  <c r="I83" i="2"/>
  <c r="G83" i="2"/>
  <c r="BN82" i="2"/>
  <c r="AQ82" i="2"/>
  <c r="P82" i="2" s="1"/>
  <c r="Y82" i="2" s="1"/>
  <c r="T82" i="2"/>
  <c r="S82" i="2"/>
  <c r="V82" i="2" s="1"/>
  <c r="BT82" i="2" s="1"/>
  <c r="R82" i="2"/>
  <c r="Q82" i="2"/>
  <c r="BO82" i="2" s="1"/>
  <c r="O82" i="2"/>
  <c r="X82" i="2" s="1"/>
  <c r="I82" i="2"/>
  <c r="G82" i="2"/>
  <c r="J82" i="2" s="1"/>
  <c r="AN81" i="2"/>
  <c r="P81" i="2" s="1"/>
  <c r="Y81" i="2" s="1"/>
  <c r="W81" i="2"/>
  <c r="BR81" i="2" s="1"/>
  <c r="T81" i="2"/>
  <c r="S81" i="2"/>
  <c r="V81" i="2" s="1"/>
  <c r="BT81" i="2" s="1"/>
  <c r="R81" i="2"/>
  <c r="Q81" i="2"/>
  <c r="Z81" i="2" s="1"/>
  <c r="O81" i="2"/>
  <c r="BN81" i="2" s="1"/>
  <c r="G81" i="2"/>
  <c r="BQ80" i="2"/>
  <c r="BO80" i="2"/>
  <c r="Y80" i="2"/>
  <c r="X80" i="2"/>
  <c r="T80" i="2"/>
  <c r="S80" i="2"/>
  <c r="V80" i="2" s="1"/>
  <c r="BT80" i="2" s="1"/>
  <c r="R80" i="2"/>
  <c r="Q80" i="2"/>
  <c r="Z80" i="2" s="1"/>
  <c r="P80" i="2"/>
  <c r="O80" i="2"/>
  <c r="BN80" i="2" s="1"/>
  <c r="K80" i="2"/>
  <c r="U80" i="2" s="1"/>
  <c r="J80" i="2"/>
  <c r="I80" i="2"/>
  <c r="G80" i="2"/>
  <c r="BN79" i="2"/>
  <c r="Z79" i="2"/>
  <c r="T79" i="2"/>
  <c r="S79" i="2"/>
  <c r="V79" i="2" s="1"/>
  <c r="BT79" i="2" s="1"/>
  <c r="R79" i="2"/>
  <c r="Q79" i="2"/>
  <c r="W79" i="2" s="1"/>
  <c r="BR79" i="2" s="1"/>
  <c r="P79" i="2"/>
  <c r="Y79" i="2" s="1"/>
  <c r="O79" i="2"/>
  <c r="X79" i="2" s="1"/>
  <c r="G79" i="2"/>
  <c r="I79" i="2" s="1"/>
  <c r="BT78" i="2"/>
  <c r="BN78" i="2"/>
  <c r="BL78" i="2"/>
  <c r="V78" i="2"/>
  <c r="T78" i="2"/>
  <c r="S78" i="2"/>
  <c r="R78" i="2"/>
  <c r="Q78" i="2"/>
  <c r="Z78" i="2" s="1"/>
  <c r="P78" i="2"/>
  <c r="Y78" i="2" s="1"/>
  <c r="O78" i="2"/>
  <c r="X78" i="2" s="1"/>
  <c r="J78" i="2"/>
  <c r="G78" i="2"/>
  <c r="I78" i="2" s="1"/>
  <c r="BN77" i="2"/>
  <c r="X77" i="2"/>
  <c r="W77" i="2"/>
  <c r="BR77" i="2" s="1"/>
  <c r="T77" i="2"/>
  <c r="S77" i="2"/>
  <c r="V77" i="2" s="1"/>
  <c r="R77" i="2"/>
  <c r="Q77" i="2"/>
  <c r="Q76" i="2" s="1"/>
  <c r="P77" i="2"/>
  <c r="Y77" i="2" s="1"/>
  <c r="O77" i="2"/>
  <c r="U77" i="2" s="1"/>
  <c r="G77" i="2"/>
  <c r="BM76" i="2"/>
  <c r="BM741" i="2" s="1"/>
  <c r="BL76" i="2"/>
  <c r="BL741" i="2" s="1"/>
  <c r="BK76" i="2"/>
  <c r="BK741" i="2" s="1"/>
  <c r="BJ76" i="2"/>
  <c r="BJ741" i="2" s="1"/>
  <c r="BI76" i="2"/>
  <c r="BI741" i="2" s="1"/>
  <c r="BG76" i="2"/>
  <c r="BG741" i="2" s="1"/>
  <c r="BF76" i="2"/>
  <c r="BF741" i="2" s="1"/>
  <c r="BD76" i="2"/>
  <c r="BD741" i="2" s="1"/>
  <c r="BC76" i="2"/>
  <c r="BC741" i="2" s="1"/>
  <c r="BB76" i="2"/>
  <c r="BA76" i="2"/>
  <c r="BA741" i="2" s="1"/>
  <c r="AX76" i="2"/>
  <c r="AX741" i="2" s="1"/>
  <c r="AW76" i="2"/>
  <c r="AW741" i="2" s="1"/>
  <c r="AV76" i="2"/>
  <c r="AV741" i="2" s="1"/>
  <c r="AU76" i="2"/>
  <c r="AU741" i="2" s="1"/>
  <c r="AS76" i="2"/>
  <c r="AS741" i="2" s="1"/>
  <c r="AR76" i="2"/>
  <c r="AR741" i="2" s="1"/>
  <c r="AQ76" i="2"/>
  <c r="AQ741" i="2" s="1"/>
  <c r="AP76" i="2"/>
  <c r="AO76" i="2"/>
  <c r="AO741" i="2" s="1"/>
  <c r="AM76" i="2"/>
  <c r="AM741" i="2" s="1"/>
  <c r="AL76" i="2"/>
  <c r="AL741" i="2" s="1"/>
  <c r="AK76" i="2"/>
  <c r="AK741" i="2" s="1"/>
  <c r="AJ76" i="2"/>
  <c r="AJ741" i="2" s="1"/>
  <c r="AI76" i="2"/>
  <c r="AI741" i="2" s="1"/>
  <c r="AH76" i="2"/>
  <c r="AH741" i="2" s="1"/>
  <c r="AG76" i="2"/>
  <c r="AG741" i="2" s="1"/>
  <c r="AF76" i="2"/>
  <c r="AF741" i="2" s="1"/>
  <c r="AE76" i="2"/>
  <c r="AE741" i="2" s="1"/>
  <c r="AD76" i="2"/>
  <c r="AD741" i="2" s="1"/>
  <c r="AC76" i="2"/>
  <c r="AC741" i="2" s="1"/>
  <c r="AB76" i="2"/>
  <c r="AB741" i="2" s="1"/>
  <c r="AA76" i="2"/>
  <c r="AA741" i="2" s="1"/>
  <c r="R76" i="2"/>
  <c r="N76" i="2"/>
  <c r="N741" i="2" s="1"/>
  <c r="M76" i="2"/>
  <c r="L76" i="2"/>
  <c r="L741" i="2" s="1"/>
  <c r="H76" i="2"/>
  <c r="H741" i="2" s="1"/>
  <c r="F76" i="2"/>
  <c r="E76" i="2"/>
  <c r="BK75" i="2"/>
  <c r="R75" i="2" s="1"/>
  <c r="BH75" i="2"/>
  <c r="BE75" i="2"/>
  <c r="BB75" i="2"/>
  <c r="AY75" i="2"/>
  <c r="AV75" i="2"/>
  <c r="AP75" i="2"/>
  <c r="AP64" i="2" s="1"/>
  <c r="V75" i="2"/>
  <c r="BT75" i="2" s="1"/>
  <c r="T75" i="2"/>
  <c r="S75" i="2"/>
  <c r="Q75" i="2"/>
  <c r="BO75" i="2" s="1"/>
  <c r="P75" i="2"/>
  <c r="Y75" i="2" s="1"/>
  <c r="O75" i="2"/>
  <c r="X75" i="2" s="1"/>
  <c r="K75" i="2"/>
  <c r="G75" i="2"/>
  <c r="J75" i="2" s="1"/>
  <c r="Y74" i="2"/>
  <c r="X74" i="2"/>
  <c r="T74" i="2"/>
  <c r="S74" i="2"/>
  <c r="V74" i="2" s="1"/>
  <c r="BT74" i="2" s="1"/>
  <c r="R74" i="2"/>
  <c r="Q74" i="2"/>
  <c r="Z74" i="2" s="1"/>
  <c r="P74" i="2"/>
  <c r="O74" i="2"/>
  <c r="BN74" i="2" s="1"/>
  <c r="I74" i="2"/>
  <c r="G74" i="2"/>
  <c r="J74" i="2" s="1"/>
  <c r="Z73" i="2"/>
  <c r="Y73" i="2"/>
  <c r="X73" i="2"/>
  <c r="T73" i="2"/>
  <c r="S73" i="2"/>
  <c r="V73" i="2" s="1"/>
  <c r="BT73" i="2" s="1"/>
  <c r="R73" i="2"/>
  <c r="Q73" i="2"/>
  <c r="BO73" i="2" s="1"/>
  <c r="P73" i="2"/>
  <c r="O73" i="2"/>
  <c r="BN73" i="2" s="1"/>
  <c r="J73" i="2"/>
  <c r="I73" i="2"/>
  <c r="Z72" i="2"/>
  <c r="Y72" i="2"/>
  <c r="X72" i="2"/>
  <c r="T72" i="2"/>
  <c r="S72" i="2"/>
  <c r="V72" i="2" s="1"/>
  <c r="BT72" i="2" s="1"/>
  <c r="R72" i="2"/>
  <c r="Q72" i="2"/>
  <c r="BO72" i="2" s="1"/>
  <c r="P72" i="2"/>
  <c r="O72" i="2"/>
  <c r="BN72" i="2" s="1"/>
  <c r="J72" i="2"/>
  <c r="I72" i="2"/>
  <c r="Z71" i="2"/>
  <c r="Y71" i="2"/>
  <c r="X71" i="2"/>
  <c r="T71" i="2"/>
  <c r="S71" i="2"/>
  <c r="V71" i="2" s="1"/>
  <c r="BT71" i="2" s="1"/>
  <c r="R71" i="2"/>
  <c r="Q71" i="2"/>
  <c r="BO71" i="2" s="1"/>
  <c r="P71" i="2"/>
  <c r="O71" i="2"/>
  <c r="BN71" i="2" s="1"/>
  <c r="BP71" i="2" s="1"/>
  <c r="J71" i="2"/>
  <c r="I71" i="2"/>
  <c r="Z70" i="2"/>
  <c r="Y70" i="2"/>
  <c r="X70" i="2"/>
  <c r="T70" i="2"/>
  <c r="S70" i="2"/>
  <c r="V70" i="2" s="1"/>
  <c r="BT70" i="2" s="1"/>
  <c r="R70" i="2"/>
  <c r="Q70" i="2"/>
  <c r="BO70" i="2" s="1"/>
  <c r="P70" i="2"/>
  <c r="O70" i="2"/>
  <c r="BN70" i="2" s="1"/>
  <c r="BP70" i="2" s="1"/>
  <c r="J70" i="2"/>
  <c r="I70" i="2"/>
  <c r="Z69" i="2"/>
  <c r="Y69" i="2"/>
  <c r="X69" i="2"/>
  <c r="T69" i="2"/>
  <c r="S69" i="2"/>
  <c r="V69" i="2" s="1"/>
  <c r="BT69" i="2" s="1"/>
  <c r="R69" i="2"/>
  <c r="Q69" i="2"/>
  <c r="BO69" i="2" s="1"/>
  <c r="P69" i="2"/>
  <c r="O69" i="2"/>
  <c r="BN69" i="2" s="1"/>
  <c r="BP69" i="2" s="1"/>
  <c r="J69" i="2"/>
  <c r="I69" i="2"/>
  <c r="BK68" i="2"/>
  <c r="BH68" i="2"/>
  <c r="BH64" i="2" s="1"/>
  <c r="BH740" i="2" s="1"/>
  <c r="BB68" i="2"/>
  <c r="O68" i="2" s="1"/>
  <c r="AY68" i="2"/>
  <c r="AV68" i="2"/>
  <c r="AS68" i="2"/>
  <c r="Z68" i="2"/>
  <c r="Y68" i="2"/>
  <c r="T68" i="2"/>
  <c r="S68" i="2"/>
  <c r="V68" i="2" s="1"/>
  <c r="BT68" i="2" s="1"/>
  <c r="R68" i="2"/>
  <c r="Q68" i="2"/>
  <c r="BO68" i="2" s="1"/>
  <c r="P68" i="2"/>
  <c r="K68" i="2"/>
  <c r="U68" i="2" s="1"/>
  <c r="BQ68" i="2" s="1"/>
  <c r="I68" i="2"/>
  <c r="G68" i="2"/>
  <c r="BO67" i="2"/>
  <c r="BK67" i="2"/>
  <c r="R67" i="2" s="1"/>
  <c r="BH67" i="2"/>
  <c r="X67" i="2"/>
  <c r="V67" i="2"/>
  <c r="BT67" i="2" s="1"/>
  <c r="T67" i="2"/>
  <c r="S67" i="2"/>
  <c r="Q67" i="2"/>
  <c r="Z67" i="2" s="1"/>
  <c r="P67" i="2"/>
  <c r="Y67" i="2" s="1"/>
  <c r="O67" i="2"/>
  <c r="U67" i="2" s="1"/>
  <c r="BQ67" i="2" s="1"/>
  <c r="J67" i="2"/>
  <c r="I67" i="2"/>
  <c r="BO66" i="2"/>
  <c r="BE66" i="2"/>
  <c r="BB66" i="2"/>
  <c r="AY66" i="2"/>
  <c r="O66" i="2" s="1"/>
  <c r="AV66" i="2"/>
  <c r="AV64" i="2" s="1"/>
  <c r="AV740" i="2" s="1"/>
  <c r="Z66" i="2"/>
  <c r="V66" i="2"/>
  <c r="BT66" i="2" s="1"/>
  <c r="T66" i="2"/>
  <c r="S66" i="2"/>
  <c r="R66" i="2"/>
  <c r="Q66" i="2"/>
  <c r="W66" i="2" s="1"/>
  <c r="BR66" i="2" s="1"/>
  <c r="P66" i="2"/>
  <c r="Y66" i="2" s="1"/>
  <c r="K66" i="2"/>
  <c r="K64" i="2" s="1"/>
  <c r="F66" i="2"/>
  <c r="G66" i="2" s="1"/>
  <c r="Y65" i="2"/>
  <c r="X65" i="2"/>
  <c r="T65" i="2"/>
  <c r="T64" i="2" s="1"/>
  <c r="T740" i="2" s="1"/>
  <c r="S65" i="2"/>
  <c r="S64" i="2" s="1"/>
  <c r="R65" i="2"/>
  <c r="Q65" i="2"/>
  <c r="Z65" i="2" s="1"/>
  <c r="P65" i="2"/>
  <c r="O65" i="2"/>
  <c r="BN65" i="2" s="1"/>
  <c r="I65" i="2"/>
  <c r="G65" i="2"/>
  <c r="BM64" i="2"/>
  <c r="BL64" i="2"/>
  <c r="BL740" i="2" s="1"/>
  <c r="BK64" i="2"/>
  <c r="BK740" i="2" s="1"/>
  <c r="BJ64" i="2"/>
  <c r="BJ740" i="2" s="1"/>
  <c r="BI64" i="2"/>
  <c r="BI740" i="2" s="1"/>
  <c r="BG64" i="2"/>
  <c r="BG740" i="2" s="1"/>
  <c r="BF64" i="2"/>
  <c r="BF740" i="2" s="1"/>
  <c r="BE64" i="2"/>
  <c r="BE740" i="2" s="1"/>
  <c r="BD64" i="2"/>
  <c r="BC64" i="2"/>
  <c r="BC740" i="2" s="1"/>
  <c r="BA64" i="2"/>
  <c r="BA740" i="2" s="1"/>
  <c r="AZ64" i="2"/>
  <c r="AZ740" i="2" s="1"/>
  <c r="AY64" i="2"/>
  <c r="AY740" i="2" s="1"/>
  <c r="AX64" i="2"/>
  <c r="AW64" i="2"/>
  <c r="AW740" i="2" s="1"/>
  <c r="AU64" i="2"/>
  <c r="AU740" i="2" s="1"/>
  <c r="AT64" i="2"/>
  <c r="AT740" i="2" s="1"/>
  <c r="AS64" i="2"/>
  <c r="AS740" i="2" s="1"/>
  <c r="AR64" i="2"/>
  <c r="AR740" i="2" s="1"/>
  <c r="AQ64" i="2"/>
  <c r="AQ740" i="2" s="1"/>
  <c r="AO64" i="2"/>
  <c r="AO740" i="2" s="1"/>
  <c r="AN64" i="2"/>
  <c r="AN740" i="2" s="1"/>
  <c r="AM64" i="2"/>
  <c r="AM740" i="2" s="1"/>
  <c r="AL64" i="2"/>
  <c r="AK64" i="2"/>
  <c r="AK740" i="2" s="1"/>
  <c r="AJ64" i="2"/>
  <c r="AJ740" i="2" s="1"/>
  <c r="AI64" i="2"/>
  <c r="AI740" i="2" s="1"/>
  <c r="AH64" i="2"/>
  <c r="AH740" i="2" s="1"/>
  <c r="AG64" i="2"/>
  <c r="AG740" i="2" s="1"/>
  <c r="AF64" i="2"/>
  <c r="AF740" i="2" s="1"/>
  <c r="AE64" i="2"/>
  <c r="AE740" i="2" s="1"/>
  <c r="AD64" i="2"/>
  <c r="AD740" i="2" s="1"/>
  <c r="AC64" i="2"/>
  <c r="AC740" i="2" s="1"/>
  <c r="AB64" i="2"/>
  <c r="AB740" i="2" s="1"/>
  <c r="AA64" i="2"/>
  <c r="AA740" i="2" s="1"/>
  <c r="N64" i="2"/>
  <c r="M64" i="2"/>
  <c r="M740" i="2" s="1"/>
  <c r="L64" i="2"/>
  <c r="L740" i="2" s="1"/>
  <c r="H64" i="2"/>
  <c r="H740" i="2" s="1"/>
  <c r="E64" i="2"/>
  <c r="E740" i="2" s="1"/>
  <c r="Y63" i="2"/>
  <c r="X63" i="2"/>
  <c r="T63" i="2"/>
  <c r="S63" i="2"/>
  <c r="V63" i="2" s="1"/>
  <c r="BT63" i="2" s="1"/>
  <c r="R63" i="2"/>
  <c r="Q63" i="2"/>
  <c r="Z63" i="2" s="1"/>
  <c r="P63" i="2"/>
  <c r="O63" i="2"/>
  <c r="BN63" i="2" s="1"/>
  <c r="I63" i="2"/>
  <c r="G63" i="2"/>
  <c r="J63" i="2" s="1"/>
  <c r="Z62" i="2"/>
  <c r="Y62" i="2"/>
  <c r="X62" i="2"/>
  <c r="T62" i="2"/>
  <c r="S62" i="2"/>
  <c r="V62" i="2" s="1"/>
  <c r="BT62" i="2" s="1"/>
  <c r="R62" i="2"/>
  <c r="Q62" i="2"/>
  <c r="BO62" i="2" s="1"/>
  <c r="P62" i="2"/>
  <c r="O62" i="2"/>
  <c r="BN62" i="2" s="1"/>
  <c r="BP62" i="2" s="1"/>
  <c r="G62" i="2"/>
  <c r="J62" i="2" s="1"/>
  <c r="BO61" i="2"/>
  <c r="Z61" i="2"/>
  <c r="Y61" i="2"/>
  <c r="T61" i="2"/>
  <c r="S61" i="2"/>
  <c r="V61" i="2" s="1"/>
  <c r="BT61" i="2" s="1"/>
  <c r="R61" i="2"/>
  <c r="Q61" i="2"/>
  <c r="W61" i="2" s="1"/>
  <c r="BR61" i="2" s="1"/>
  <c r="P61" i="2"/>
  <c r="O61" i="2"/>
  <c r="BN61" i="2" s="1"/>
  <c r="BP61" i="2" s="1"/>
  <c r="I61" i="2"/>
  <c r="G61" i="2"/>
  <c r="BO60" i="2"/>
  <c r="Z60" i="2"/>
  <c r="V60" i="2"/>
  <c r="BT60" i="2" s="1"/>
  <c r="T60" i="2"/>
  <c r="S60" i="2"/>
  <c r="R60" i="2"/>
  <c r="Q60" i="2"/>
  <c r="W60" i="2" s="1"/>
  <c r="BR60" i="2" s="1"/>
  <c r="P60" i="2"/>
  <c r="Y60" i="2" s="1"/>
  <c r="O60" i="2"/>
  <c r="X60" i="2" s="1"/>
  <c r="J60" i="2"/>
  <c r="I60" i="2"/>
  <c r="G60" i="2"/>
  <c r="BT59" i="2"/>
  <c r="V59" i="2"/>
  <c r="T59" i="2"/>
  <c r="S59" i="2"/>
  <c r="R59" i="2"/>
  <c r="Q59" i="2"/>
  <c r="W59" i="2" s="1"/>
  <c r="BR59" i="2" s="1"/>
  <c r="P59" i="2"/>
  <c r="Y59" i="2" s="1"/>
  <c r="O59" i="2"/>
  <c r="X59" i="2" s="1"/>
  <c r="G59" i="2"/>
  <c r="I59" i="2" s="1"/>
  <c r="BN58" i="2"/>
  <c r="BH58" i="2"/>
  <c r="Y58" i="2"/>
  <c r="X58" i="2"/>
  <c r="T58" i="2"/>
  <c r="S58" i="2"/>
  <c r="V58" i="2" s="1"/>
  <c r="BT58" i="2" s="1"/>
  <c r="R58" i="2"/>
  <c r="Q58" i="2"/>
  <c r="W58" i="2" s="1"/>
  <c r="BR58" i="2" s="1"/>
  <c r="P58" i="2"/>
  <c r="O58" i="2"/>
  <c r="U58" i="2" s="1"/>
  <c r="BQ58" i="2" s="1"/>
  <c r="BS58" i="2" s="1"/>
  <c r="BV58" i="2" s="1"/>
  <c r="I58" i="2"/>
  <c r="G58" i="2"/>
  <c r="J58" i="2" s="1"/>
  <c r="AY57" i="2"/>
  <c r="O57" i="2" s="1"/>
  <c r="AV57" i="2"/>
  <c r="Z57" i="2"/>
  <c r="V57" i="2"/>
  <c r="BT57" i="2" s="1"/>
  <c r="T57" i="2"/>
  <c r="S57" i="2"/>
  <c r="R57" i="2"/>
  <c r="Q57" i="2"/>
  <c r="BO57" i="2" s="1"/>
  <c r="P57" i="2"/>
  <c r="Y57" i="2" s="1"/>
  <c r="K57" i="2"/>
  <c r="U57" i="2" s="1"/>
  <c r="BQ57" i="2" s="1"/>
  <c r="G57" i="2"/>
  <c r="I57" i="2" s="1"/>
  <c r="BO56" i="2"/>
  <c r="X56" i="2"/>
  <c r="V56" i="2"/>
  <c r="BT56" i="2" s="1"/>
  <c r="T56" i="2"/>
  <c r="S56" i="2"/>
  <c r="R56" i="2"/>
  <c r="Q56" i="2"/>
  <c r="Z56" i="2" s="1"/>
  <c r="P56" i="2"/>
  <c r="Y56" i="2" s="1"/>
  <c r="O56" i="2"/>
  <c r="BN56" i="2" s="1"/>
  <c r="BP56" i="2" s="1"/>
  <c r="G56" i="2"/>
  <c r="J56" i="2" s="1"/>
  <c r="Y55" i="2"/>
  <c r="X55" i="2"/>
  <c r="T55" i="2"/>
  <c r="S55" i="2"/>
  <c r="V55" i="2" s="1"/>
  <c r="BT55" i="2" s="1"/>
  <c r="R55" i="2"/>
  <c r="Q55" i="2"/>
  <c r="W55" i="2" s="1"/>
  <c r="BR55" i="2" s="1"/>
  <c r="P55" i="2"/>
  <c r="O55" i="2"/>
  <c r="BN55" i="2" s="1"/>
  <c r="I55" i="2"/>
  <c r="G55" i="2"/>
  <c r="J55" i="2" s="1"/>
  <c r="BE54" i="2"/>
  <c r="O54" i="2" s="1"/>
  <c r="BB54" i="2"/>
  <c r="Z54" i="2"/>
  <c r="V54" i="2"/>
  <c r="BT54" i="2" s="1"/>
  <c r="T54" i="2"/>
  <c r="S54" i="2"/>
  <c r="R54" i="2"/>
  <c r="Q54" i="2"/>
  <c r="BO54" i="2" s="1"/>
  <c r="P54" i="2"/>
  <c r="Y54" i="2" s="1"/>
  <c r="J54" i="2"/>
  <c r="I54" i="2"/>
  <c r="G54" i="2"/>
  <c r="BT53" i="2"/>
  <c r="V53" i="2"/>
  <c r="T53" i="2"/>
  <c r="S53" i="2"/>
  <c r="R53" i="2"/>
  <c r="Q53" i="2"/>
  <c r="W53" i="2" s="1"/>
  <c r="BR53" i="2" s="1"/>
  <c r="P53" i="2"/>
  <c r="Y53" i="2" s="1"/>
  <c r="O53" i="2"/>
  <c r="U53" i="2" s="1"/>
  <c r="BQ53" i="2" s="1"/>
  <c r="BS53" i="2" s="1"/>
  <c r="BV53" i="2" s="1"/>
  <c r="G53" i="2"/>
  <c r="I53" i="2" s="1"/>
  <c r="BO52" i="2"/>
  <c r="X52" i="2"/>
  <c r="V52" i="2"/>
  <c r="BT52" i="2" s="1"/>
  <c r="T52" i="2"/>
  <c r="S52" i="2"/>
  <c r="R52" i="2"/>
  <c r="Q52" i="2"/>
  <c r="Z52" i="2" s="1"/>
  <c r="P52" i="2"/>
  <c r="Y52" i="2" s="1"/>
  <c r="O52" i="2"/>
  <c r="BN52" i="2" s="1"/>
  <c r="BP52" i="2" s="1"/>
  <c r="G52" i="2"/>
  <c r="J52" i="2" s="1"/>
  <c r="BH51" i="2"/>
  <c r="Z51" i="2"/>
  <c r="Y51" i="2"/>
  <c r="X51" i="2"/>
  <c r="T51" i="2"/>
  <c r="S51" i="2"/>
  <c r="V51" i="2" s="1"/>
  <c r="BT51" i="2" s="1"/>
  <c r="R51" i="2"/>
  <c r="Q51" i="2"/>
  <c r="BO51" i="2" s="1"/>
  <c r="P51" i="2"/>
  <c r="O51" i="2"/>
  <c r="BN51" i="2" s="1"/>
  <c r="BP51" i="2" s="1"/>
  <c r="G51" i="2"/>
  <c r="J51" i="2" s="1"/>
  <c r="BO50" i="2"/>
  <c r="Z50" i="2"/>
  <c r="Y50" i="2"/>
  <c r="T50" i="2"/>
  <c r="S50" i="2"/>
  <c r="V50" i="2" s="1"/>
  <c r="BT50" i="2" s="1"/>
  <c r="R50" i="2"/>
  <c r="Q50" i="2"/>
  <c r="W50" i="2" s="1"/>
  <c r="BR50" i="2" s="1"/>
  <c r="P50" i="2"/>
  <c r="O50" i="2"/>
  <c r="BN50" i="2" s="1"/>
  <c r="BP50" i="2" s="1"/>
  <c r="J50" i="2"/>
  <c r="I50" i="2"/>
  <c r="G50" i="2"/>
  <c r="BO49" i="2"/>
  <c r="Z49" i="2"/>
  <c r="V49" i="2"/>
  <c r="BT49" i="2" s="1"/>
  <c r="T49" i="2"/>
  <c r="S49" i="2"/>
  <c r="R49" i="2"/>
  <c r="Q49" i="2"/>
  <c r="W49" i="2" s="1"/>
  <c r="BR49" i="2" s="1"/>
  <c r="P49" i="2"/>
  <c r="Y49" i="2" s="1"/>
  <c r="O49" i="2"/>
  <c r="X49" i="2" s="1"/>
  <c r="J49" i="2"/>
  <c r="I49" i="2"/>
  <c r="G49" i="2"/>
  <c r="BT48" i="2"/>
  <c r="V48" i="2"/>
  <c r="T48" i="2"/>
  <c r="S48" i="2"/>
  <c r="R48" i="2"/>
  <c r="Q48" i="2"/>
  <c r="W48" i="2" s="1"/>
  <c r="BR48" i="2" s="1"/>
  <c r="P48" i="2"/>
  <c r="Y48" i="2" s="1"/>
  <c r="O48" i="2"/>
  <c r="X48" i="2" s="1"/>
  <c r="G48" i="2"/>
  <c r="I48" i="2" s="1"/>
  <c r="BO47" i="2"/>
  <c r="X47" i="2"/>
  <c r="V47" i="2"/>
  <c r="BT47" i="2" s="1"/>
  <c r="T47" i="2"/>
  <c r="S47" i="2"/>
  <c r="R47" i="2"/>
  <c r="Q47" i="2"/>
  <c r="Z47" i="2" s="1"/>
  <c r="P47" i="2"/>
  <c r="Y47" i="2" s="1"/>
  <c r="O47" i="2"/>
  <c r="BN47" i="2" s="1"/>
  <c r="BP47" i="2" s="1"/>
  <c r="G47" i="2"/>
  <c r="J47" i="2" s="1"/>
  <c r="AM46" i="2"/>
  <c r="Z46" i="2"/>
  <c r="Y46" i="2"/>
  <c r="X46" i="2"/>
  <c r="T46" i="2"/>
  <c r="S46" i="2"/>
  <c r="V46" i="2" s="1"/>
  <c r="BT46" i="2" s="1"/>
  <c r="R46" i="2"/>
  <c r="Q46" i="2"/>
  <c r="BO46" i="2" s="1"/>
  <c r="P46" i="2"/>
  <c r="O46" i="2"/>
  <c r="BN46" i="2" s="1"/>
  <c r="BP46" i="2" s="1"/>
  <c r="K46" i="2"/>
  <c r="U46" i="2" s="1"/>
  <c r="BQ46" i="2" s="1"/>
  <c r="J46" i="2"/>
  <c r="I46" i="2"/>
  <c r="G46" i="2"/>
  <c r="BB45" i="2"/>
  <c r="BB14" i="2" s="1"/>
  <c r="BB738" i="2" s="1"/>
  <c r="AY45" i="2"/>
  <c r="O45" i="2" s="1"/>
  <c r="AV45" i="2"/>
  <c r="Y45" i="2"/>
  <c r="T45" i="2"/>
  <c r="S45" i="2"/>
  <c r="V45" i="2" s="1"/>
  <c r="BT45" i="2" s="1"/>
  <c r="R45" i="2"/>
  <c r="Q45" i="2"/>
  <c r="Z45" i="2" s="1"/>
  <c r="P45" i="2"/>
  <c r="I45" i="2"/>
  <c r="G45" i="2"/>
  <c r="J45" i="2" s="1"/>
  <c r="Z44" i="2"/>
  <c r="Y44" i="2"/>
  <c r="X44" i="2"/>
  <c r="T44" i="2"/>
  <c r="S44" i="2"/>
  <c r="V44" i="2" s="1"/>
  <c r="BT44" i="2" s="1"/>
  <c r="R44" i="2"/>
  <c r="Q44" i="2"/>
  <c r="BO44" i="2" s="1"/>
  <c r="P44" i="2"/>
  <c r="O44" i="2"/>
  <c r="BN44" i="2" s="1"/>
  <c r="BP44" i="2" s="1"/>
  <c r="G44" i="2"/>
  <c r="J44" i="2" s="1"/>
  <c r="BO43" i="2"/>
  <c r="Z43" i="2"/>
  <c r="Y43" i="2"/>
  <c r="T43" i="2"/>
  <c r="S43" i="2"/>
  <c r="V43" i="2" s="1"/>
  <c r="BT43" i="2" s="1"/>
  <c r="R43" i="2"/>
  <c r="Q43" i="2"/>
  <c r="W43" i="2" s="1"/>
  <c r="BR43" i="2" s="1"/>
  <c r="P43" i="2"/>
  <c r="O43" i="2"/>
  <c r="BN43" i="2" s="1"/>
  <c r="BP43" i="2" s="1"/>
  <c r="J43" i="2"/>
  <c r="I43" i="2"/>
  <c r="G43" i="2"/>
  <c r="BO42" i="2"/>
  <c r="Z42" i="2"/>
  <c r="V42" i="2"/>
  <c r="BT42" i="2" s="1"/>
  <c r="T42" i="2"/>
  <c r="S42" i="2"/>
  <c r="R42" i="2"/>
  <c r="Q42" i="2"/>
  <c r="W42" i="2" s="1"/>
  <c r="BR42" i="2" s="1"/>
  <c r="P42" i="2"/>
  <c r="Y42" i="2" s="1"/>
  <c r="O42" i="2"/>
  <c r="X42" i="2" s="1"/>
  <c r="J42" i="2"/>
  <c r="I42" i="2"/>
  <c r="G42" i="2"/>
  <c r="BT41" i="2"/>
  <c r="V41" i="2"/>
  <c r="T41" i="2"/>
  <c r="S41" i="2"/>
  <c r="R41" i="2"/>
  <c r="Q41" i="2"/>
  <c r="W41" i="2" s="1"/>
  <c r="BR41" i="2" s="1"/>
  <c r="P41" i="2"/>
  <c r="Y41" i="2" s="1"/>
  <c r="O41" i="2"/>
  <c r="X41" i="2" s="1"/>
  <c r="G41" i="2"/>
  <c r="I41" i="2" s="1"/>
  <c r="BO40" i="2"/>
  <c r="X40" i="2"/>
  <c r="V40" i="2"/>
  <c r="BT40" i="2" s="1"/>
  <c r="T40" i="2"/>
  <c r="S40" i="2"/>
  <c r="R40" i="2"/>
  <c r="Q40" i="2"/>
  <c r="Z40" i="2" s="1"/>
  <c r="P40" i="2"/>
  <c r="Y40" i="2" s="1"/>
  <c r="O40" i="2"/>
  <c r="BN40" i="2" s="1"/>
  <c r="BP40" i="2" s="1"/>
  <c r="G40" i="2"/>
  <c r="J40" i="2" s="1"/>
  <c r="Y39" i="2"/>
  <c r="X39" i="2"/>
  <c r="T39" i="2"/>
  <c r="S39" i="2"/>
  <c r="V39" i="2" s="1"/>
  <c r="BT39" i="2" s="1"/>
  <c r="R39" i="2"/>
  <c r="Q39" i="2"/>
  <c r="Z39" i="2" s="1"/>
  <c r="P39" i="2"/>
  <c r="O39" i="2"/>
  <c r="BN39" i="2" s="1"/>
  <c r="I39" i="2"/>
  <c r="G39" i="2"/>
  <c r="J39" i="2" s="1"/>
  <c r="Z38" i="2"/>
  <c r="Y38" i="2"/>
  <c r="X38" i="2"/>
  <c r="T38" i="2"/>
  <c r="S38" i="2"/>
  <c r="V38" i="2" s="1"/>
  <c r="BT38" i="2" s="1"/>
  <c r="R38" i="2"/>
  <c r="Q38" i="2"/>
  <c r="BO38" i="2" s="1"/>
  <c r="P38" i="2"/>
  <c r="O38" i="2"/>
  <c r="BN38" i="2" s="1"/>
  <c r="G38" i="2"/>
  <c r="J38" i="2" s="1"/>
  <c r="BO37" i="2"/>
  <c r="Z37" i="2"/>
  <c r="Y37" i="2"/>
  <c r="T37" i="2"/>
  <c r="S37" i="2"/>
  <c r="V37" i="2" s="1"/>
  <c r="BT37" i="2" s="1"/>
  <c r="R37" i="2"/>
  <c r="Q37" i="2"/>
  <c r="W37" i="2" s="1"/>
  <c r="BR37" i="2" s="1"/>
  <c r="P37" i="2"/>
  <c r="O37" i="2"/>
  <c r="BN37" i="2" s="1"/>
  <c r="BP37" i="2" s="1"/>
  <c r="J37" i="2"/>
  <c r="I37" i="2"/>
  <c r="G37" i="2"/>
  <c r="BO36" i="2"/>
  <c r="Z36" i="2"/>
  <c r="V36" i="2"/>
  <c r="BT36" i="2" s="1"/>
  <c r="T36" i="2"/>
  <c r="S36" i="2"/>
  <c r="R36" i="2"/>
  <c r="Q36" i="2"/>
  <c r="W36" i="2" s="1"/>
  <c r="BR36" i="2" s="1"/>
  <c r="P36" i="2"/>
  <c r="Y36" i="2" s="1"/>
  <c r="O36" i="2"/>
  <c r="X36" i="2" s="1"/>
  <c r="J36" i="2"/>
  <c r="I36" i="2"/>
  <c r="G36" i="2"/>
  <c r="BN35" i="2"/>
  <c r="AP35" i="2"/>
  <c r="X35" i="2"/>
  <c r="V35" i="2"/>
  <c r="BT35" i="2" s="1"/>
  <c r="T35" i="2"/>
  <c r="S35" i="2"/>
  <c r="R35" i="2"/>
  <c r="Q35" i="2"/>
  <c r="Z35" i="2" s="1"/>
  <c r="P35" i="2"/>
  <c r="Y35" i="2" s="1"/>
  <c r="O35" i="2"/>
  <c r="U35" i="2" s="1"/>
  <c r="BQ35" i="2" s="1"/>
  <c r="G35" i="2"/>
  <c r="J35" i="2" s="1"/>
  <c r="Y34" i="2"/>
  <c r="X34" i="2"/>
  <c r="T34" i="2"/>
  <c r="S34" i="2"/>
  <c r="V34" i="2" s="1"/>
  <c r="BT34" i="2" s="1"/>
  <c r="R34" i="2"/>
  <c r="Q34" i="2"/>
  <c r="Z34" i="2" s="1"/>
  <c r="P34" i="2"/>
  <c r="O34" i="2"/>
  <c r="BN34" i="2" s="1"/>
  <c r="I34" i="2"/>
  <c r="G34" i="2"/>
  <c r="J34" i="2" s="1"/>
  <c r="Z33" i="2"/>
  <c r="Y33" i="2"/>
  <c r="X33" i="2"/>
  <c r="T33" i="2"/>
  <c r="S33" i="2"/>
  <c r="V33" i="2" s="1"/>
  <c r="BT33" i="2" s="1"/>
  <c r="R33" i="2"/>
  <c r="Q33" i="2"/>
  <c r="BO33" i="2" s="1"/>
  <c r="P33" i="2"/>
  <c r="O33" i="2"/>
  <c r="BN33" i="2" s="1"/>
  <c r="BP33" i="2" s="1"/>
  <c r="G33" i="2"/>
  <c r="J33" i="2" s="1"/>
  <c r="BO32" i="2"/>
  <c r="Z32" i="2"/>
  <c r="Y32" i="2"/>
  <c r="T32" i="2"/>
  <c r="S32" i="2"/>
  <c r="V32" i="2" s="1"/>
  <c r="BT32" i="2" s="1"/>
  <c r="R32" i="2"/>
  <c r="Q32" i="2"/>
  <c r="W32" i="2" s="1"/>
  <c r="BR32" i="2" s="1"/>
  <c r="P32" i="2"/>
  <c r="O32" i="2"/>
  <c r="BN32" i="2" s="1"/>
  <c r="BP32" i="2" s="1"/>
  <c r="I32" i="2"/>
  <c r="G32" i="2"/>
  <c r="BO31" i="2"/>
  <c r="Z31" i="2"/>
  <c r="V31" i="2"/>
  <c r="BT31" i="2" s="1"/>
  <c r="T31" i="2"/>
  <c r="S31" i="2"/>
  <c r="R31" i="2"/>
  <c r="Q31" i="2"/>
  <c r="W31" i="2" s="1"/>
  <c r="BR31" i="2" s="1"/>
  <c r="P31" i="2"/>
  <c r="Y31" i="2" s="1"/>
  <c r="O31" i="2"/>
  <c r="X31" i="2" s="1"/>
  <c r="J31" i="2"/>
  <c r="I31" i="2"/>
  <c r="G31" i="2"/>
  <c r="BT30" i="2"/>
  <c r="V30" i="2"/>
  <c r="T30" i="2"/>
  <c r="S30" i="2"/>
  <c r="R30" i="2"/>
  <c r="Q30" i="2"/>
  <c r="W30" i="2" s="1"/>
  <c r="BR30" i="2" s="1"/>
  <c r="P30" i="2"/>
  <c r="Y30" i="2" s="1"/>
  <c r="O30" i="2"/>
  <c r="X30" i="2" s="1"/>
  <c r="G30" i="2"/>
  <c r="I30" i="2" s="1"/>
  <c r="BO29" i="2"/>
  <c r="X29" i="2"/>
  <c r="V29" i="2"/>
  <c r="BT29" i="2" s="1"/>
  <c r="T29" i="2"/>
  <c r="S29" i="2"/>
  <c r="R29" i="2"/>
  <c r="Q29" i="2"/>
  <c r="Z29" i="2" s="1"/>
  <c r="P29" i="2"/>
  <c r="Y29" i="2" s="1"/>
  <c r="O29" i="2"/>
  <c r="BN29" i="2" s="1"/>
  <c r="BP29" i="2" s="1"/>
  <c r="G29" i="2"/>
  <c r="J29" i="2" s="1"/>
  <c r="Y28" i="2"/>
  <c r="X28" i="2"/>
  <c r="T28" i="2"/>
  <c r="S28" i="2"/>
  <c r="V28" i="2" s="1"/>
  <c r="BT28" i="2" s="1"/>
  <c r="R28" i="2"/>
  <c r="Q28" i="2"/>
  <c r="Z28" i="2" s="1"/>
  <c r="P28" i="2"/>
  <c r="O28" i="2"/>
  <c r="BN28" i="2" s="1"/>
  <c r="I28" i="2"/>
  <c r="G28" i="2"/>
  <c r="J28" i="2" s="1"/>
  <c r="Z27" i="2"/>
  <c r="Y27" i="2"/>
  <c r="X27" i="2"/>
  <c r="T27" i="2"/>
  <c r="S27" i="2"/>
  <c r="V27" i="2" s="1"/>
  <c r="BT27" i="2" s="1"/>
  <c r="R27" i="2"/>
  <c r="Q27" i="2"/>
  <c r="BO27" i="2" s="1"/>
  <c r="P27" i="2"/>
  <c r="O27" i="2"/>
  <c r="BN27" i="2" s="1"/>
  <c r="BP27" i="2" s="1"/>
  <c r="G27" i="2"/>
  <c r="J27" i="2" s="1"/>
  <c r="BO26" i="2"/>
  <c r="Z26" i="2"/>
  <c r="Y26" i="2"/>
  <c r="T26" i="2"/>
  <c r="S26" i="2"/>
  <c r="V26" i="2" s="1"/>
  <c r="BT26" i="2" s="1"/>
  <c r="R26" i="2"/>
  <c r="Q26" i="2"/>
  <c r="W26" i="2" s="1"/>
  <c r="BR26" i="2" s="1"/>
  <c r="P26" i="2"/>
  <c r="O26" i="2"/>
  <c r="BN26" i="2" s="1"/>
  <c r="BP26" i="2" s="1"/>
  <c r="J26" i="2"/>
  <c r="I26" i="2"/>
  <c r="G26" i="2"/>
  <c r="BO25" i="2"/>
  <c r="Z25" i="2"/>
  <c r="V25" i="2"/>
  <c r="BT25" i="2" s="1"/>
  <c r="T25" i="2"/>
  <c r="S25" i="2"/>
  <c r="R25" i="2"/>
  <c r="Q25" i="2"/>
  <c r="W25" i="2" s="1"/>
  <c r="BR25" i="2" s="1"/>
  <c r="P25" i="2"/>
  <c r="Y25" i="2" s="1"/>
  <c r="O25" i="2"/>
  <c r="X25" i="2" s="1"/>
  <c r="J25" i="2"/>
  <c r="I25" i="2"/>
  <c r="G25" i="2"/>
  <c r="BT24" i="2"/>
  <c r="V24" i="2"/>
  <c r="T24" i="2"/>
  <c r="S24" i="2"/>
  <c r="R24" i="2"/>
  <c r="Q24" i="2"/>
  <c r="W24" i="2" s="1"/>
  <c r="BR24" i="2" s="1"/>
  <c r="P24" i="2"/>
  <c r="Y24" i="2" s="1"/>
  <c r="O24" i="2"/>
  <c r="X24" i="2" s="1"/>
  <c r="G24" i="2"/>
  <c r="I24" i="2" s="1"/>
  <c r="BO23" i="2"/>
  <c r="X23" i="2"/>
  <c r="V23" i="2"/>
  <c r="BT23" i="2" s="1"/>
  <c r="T23" i="2"/>
  <c r="S23" i="2"/>
  <c r="R23" i="2"/>
  <c r="Q23" i="2"/>
  <c r="Z23" i="2" s="1"/>
  <c r="P23" i="2"/>
  <c r="Y23" i="2" s="1"/>
  <c r="O23" i="2"/>
  <c r="BN23" i="2" s="1"/>
  <c r="BP23" i="2" s="1"/>
  <c r="G23" i="2"/>
  <c r="J23" i="2" s="1"/>
  <c r="Y22" i="2"/>
  <c r="X22" i="2"/>
  <c r="T22" i="2"/>
  <c r="S22" i="2"/>
  <c r="V22" i="2" s="1"/>
  <c r="BT22" i="2" s="1"/>
  <c r="R22" i="2"/>
  <c r="Q22" i="2"/>
  <c r="Z22" i="2" s="1"/>
  <c r="P22" i="2"/>
  <c r="O22" i="2"/>
  <c r="BN22" i="2" s="1"/>
  <c r="I22" i="2"/>
  <c r="G22" i="2"/>
  <c r="J22" i="2" s="1"/>
  <c r="Z21" i="2"/>
  <c r="Y21" i="2"/>
  <c r="X21" i="2"/>
  <c r="T21" i="2"/>
  <c r="S21" i="2"/>
  <c r="V21" i="2" s="1"/>
  <c r="BT21" i="2" s="1"/>
  <c r="R21" i="2"/>
  <c r="Q21" i="2"/>
  <c r="BO21" i="2" s="1"/>
  <c r="P21" i="2"/>
  <c r="O21" i="2"/>
  <c r="BN21" i="2" s="1"/>
  <c r="G21" i="2"/>
  <c r="J21" i="2" s="1"/>
  <c r="BO20" i="2"/>
  <c r="Z20" i="2"/>
  <c r="Y20" i="2"/>
  <c r="T20" i="2"/>
  <c r="S20" i="2"/>
  <c r="V20" i="2" s="1"/>
  <c r="BT20" i="2" s="1"/>
  <c r="R20" i="2"/>
  <c r="Q20" i="2"/>
  <c r="W20" i="2" s="1"/>
  <c r="BR20" i="2" s="1"/>
  <c r="P20" i="2"/>
  <c r="O20" i="2"/>
  <c r="BN20" i="2" s="1"/>
  <c r="BP20" i="2" s="1"/>
  <c r="I20" i="2"/>
  <c r="G20" i="2"/>
  <c r="Z19" i="2"/>
  <c r="S19" i="2"/>
  <c r="V19" i="2" s="1"/>
  <c r="R19" i="2"/>
  <c r="BN19" i="2" s="1"/>
  <c r="Q19" i="2"/>
  <c r="W19" i="2" s="1"/>
  <c r="P19" i="2"/>
  <c r="Y19" i="2" s="1"/>
  <c r="O19" i="2"/>
  <c r="X19" i="2" s="1"/>
  <c r="J19" i="2"/>
  <c r="I19" i="2"/>
  <c r="G19" i="2"/>
  <c r="BT18" i="2"/>
  <c r="V18" i="2"/>
  <c r="T18" i="2"/>
  <c r="S18" i="2"/>
  <c r="R18" i="2"/>
  <c r="Q18" i="2"/>
  <c r="W18" i="2" s="1"/>
  <c r="BR18" i="2" s="1"/>
  <c r="P18" i="2"/>
  <c r="Y18" i="2" s="1"/>
  <c r="O18" i="2"/>
  <c r="U18" i="2" s="1"/>
  <c r="BQ18" i="2" s="1"/>
  <c r="BS18" i="2" s="1"/>
  <c r="BV18" i="2" s="1"/>
  <c r="G18" i="2"/>
  <c r="I18" i="2" s="1"/>
  <c r="BO17" i="2"/>
  <c r="X17" i="2"/>
  <c r="V17" i="2"/>
  <c r="BT17" i="2" s="1"/>
  <c r="T17" i="2"/>
  <c r="S17" i="2"/>
  <c r="R17" i="2"/>
  <c r="Q17" i="2"/>
  <c r="Z17" i="2" s="1"/>
  <c r="P17" i="2"/>
  <c r="Y17" i="2" s="1"/>
  <c r="O17" i="2"/>
  <c r="BN17" i="2" s="1"/>
  <c r="BP17" i="2" s="1"/>
  <c r="G17" i="2"/>
  <c r="J17" i="2" s="1"/>
  <c r="Y16" i="2"/>
  <c r="X16" i="2"/>
  <c r="T16" i="2"/>
  <c r="S16" i="2"/>
  <c r="V16" i="2" s="1"/>
  <c r="BT16" i="2" s="1"/>
  <c r="R16" i="2"/>
  <c r="Q16" i="2"/>
  <c r="Z16" i="2" s="1"/>
  <c r="P16" i="2"/>
  <c r="O16" i="2"/>
  <c r="BN16" i="2" s="1"/>
  <c r="I16" i="2"/>
  <c r="G16" i="2"/>
  <c r="J16" i="2" s="1"/>
  <c r="Z15" i="2"/>
  <c r="Y15" i="2"/>
  <c r="X15" i="2"/>
  <c r="T15" i="2"/>
  <c r="S15" i="2"/>
  <c r="V15" i="2" s="1"/>
  <c r="R15" i="2"/>
  <c r="Q15" i="2"/>
  <c r="BO15" i="2" s="1"/>
  <c r="P15" i="2"/>
  <c r="O15" i="2"/>
  <c r="BN15" i="2" s="1"/>
  <c r="G15" i="2"/>
  <c r="G14" i="2" s="1"/>
  <c r="BL14" i="2"/>
  <c r="BK14" i="2"/>
  <c r="BK738" i="2" s="1"/>
  <c r="BJ14" i="2"/>
  <c r="BI14" i="2"/>
  <c r="BI738" i="2" s="1"/>
  <c r="BH14" i="2"/>
  <c r="BH738" i="2" s="1"/>
  <c r="BG14" i="2"/>
  <c r="BF14" i="2"/>
  <c r="BF738" i="2" s="1"/>
  <c r="BE14" i="2"/>
  <c r="BE738" i="2" s="1"/>
  <c r="BD14" i="2"/>
  <c r="BD738" i="2" s="1"/>
  <c r="BC14" i="2"/>
  <c r="BC738" i="2" s="1"/>
  <c r="BA14" i="2"/>
  <c r="BA738" i="2" s="1"/>
  <c r="AZ14" i="2"/>
  <c r="AY14" i="2"/>
  <c r="AY738" i="2" s="1"/>
  <c r="AX14" i="2"/>
  <c r="AW14" i="2"/>
  <c r="AW738" i="2" s="1"/>
  <c r="AV14" i="2"/>
  <c r="AV738" i="2" s="1"/>
  <c r="AU14" i="2"/>
  <c r="AU738" i="2" s="1"/>
  <c r="AT14" i="2"/>
  <c r="AT738" i="2" s="1"/>
  <c r="AS14" i="2"/>
  <c r="AS738" i="2" s="1"/>
  <c r="AR14" i="2"/>
  <c r="AR738" i="2" s="1"/>
  <c r="AQ14" i="2"/>
  <c r="AQ738" i="2" s="1"/>
  <c r="AP14" i="2"/>
  <c r="AP738" i="2" s="1"/>
  <c r="AO14" i="2"/>
  <c r="AO738" i="2" s="1"/>
  <c r="AN14" i="2"/>
  <c r="AN738" i="2" s="1"/>
  <c r="AM14" i="2"/>
  <c r="AL14" i="2"/>
  <c r="AL738" i="2" s="1"/>
  <c r="AK14" i="2"/>
  <c r="AJ14" i="2"/>
  <c r="AI14" i="2"/>
  <c r="AI738" i="2" s="1"/>
  <c r="AH14" i="2"/>
  <c r="AG14" i="2"/>
  <c r="AG738" i="2" s="1"/>
  <c r="AF14" i="2"/>
  <c r="AF738" i="2" s="1"/>
  <c r="AE14" i="2"/>
  <c r="AE738" i="2" s="1"/>
  <c r="AD14" i="2"/>
  <c r="AD738" i="2" s="1"/>
  <c r="AC14" i="2"/>
  <c r="AC738" i="2" s="1"/>
  <c r="AB14" i="2"/>
  <c r="AA14" i="2"/>
  <c r="AA738" i="2" s="1"/>
  <c r="P14" i="2"/>
  <c r="N14" i="2"/>
  <c r="N738" i="2" s="1"/>
  <c r="M14" i="2"/>
  <c r="L14" i="2"/>
  <c r="H14" i="2"/>
  <c r="H738" i="2" s="1"/>
  <c r="F14" i="2"/>
  <c r="F738" i="2" s="1"/>
  <c r="E14" i="2"/>
  <c r="E738" i="2" s="1"/>
  <c r="Z13" i="2"/>
  <c r="Y13" i="2"/>
  <c r="X13" i="2"/>
  <c r="T13" i="2"/>
  <c r="T11" i="2" s="1"/>
  <c r="S13" i="2"/>
  <c r="V13" i="2" s="1"/>
  <c r="BT13" i="2" s="1"/>
  <c r="R13" i="2"/>
  <c r="Q13" i="2"/>
  <c r="BO13" i="2" s="1"/>
  <c r="P13" i="2"/>
  <c r="O13" i="2"/>
  <c r="BN13" i="2" s="1"/>
  <c r="BP13" i="2" s="1"/>
  <c r="G13" i="2"/>
  <c r="J13" i="2" s="1"/>
  <c r="AS12" i="2"/>
  <c r="AP12" i="2"/>
  <c r="AP11" i="2" s="1"/>
  <c r="AG12" i="2"/>
  <c r="V12" i="2"/>
  <c r="BT12" i="2" s="1"/>
  <c r="BT11" i="2" s="1"/>
  <c r="T12" i="2"/>
  <c r="S12" i="2"/>
  <c r="S11" i="2" s="1"/>
  <c r="R12" i="2"/>
  <c r="R11" i="2" s="1"/>
  <c r="Q12" i="2"/>
  <c r="Z12" i="2" s="1"/>
  <c r="P12" i="2"/>
  <c r="Y12" i="2" s="1"/>
  <c r="K12" i="2"/>
  <c r="G12" i="2"/>
  <c r="G11" i="2" s="1"/>
  <c r="BM11" i="2"/>
  <c r="BL11" i="2"/>
  <c r="BK11" i="2"/>
  <c r="BK10" i="2" s="1"/>
  <c r="BK9" i="2" s="1"/>
  <c r="BJ11" i="2"/>
  <c r="BI11" i="2"/>
  <c r="BH11" i="2"/>
  <c r="BH10" i="2" s="1"/>
  <c r="BH9" i="2" s="1"/>
  <c r="BG11" i="2"/>
  <c r="BG10" i="2" s="1"/>
  <c r="BG9" i="2" s="1"/>
  <c r="BF11" i="2"/>
  <c r="BE11" i="2"/>
  <c r="BE10" i="2" s="1"/>
  <c r="BE9" i="2" s="1"/>
  <c r="BD11" i="2"/>
  <c r="BC11" i="2"/>
  <c r="BB11" i="2"/>
  <c r="BA11" i="2"/>
  <c r="BA10" i="2" s="1"/>
  <c r="BA9" i="2" s="1"/>
  <c r="AZ11" i="2"/>
  <c r="AY11" i="2"/>
  <c r="AX11" i="2"/>
  <c r="AW11" i="2"/>
  <c r="AV11" i="2"/>
  <c r="AV10" i="2" s="1"/>
  <c r="AV9" i="2" s="1"/>
  <c r="AU11" i="2"/>
  <c r="AU10" i="2" s="1"/>
  <c r="AU9" i="2" s="1"/>
  <c r="AT11" i="2"/>
  <c r="AS11" i="2"/>
  <c r="AS10" i="2" s="1"/>
  <c r="AS9" i="2" s="1"/>
  <c r="AR11" i="2"/>
  <c r="AQ11" i="2"/>
  <c r="AO11" i="2"/>
  <c r="AO10" i="2" s="1"/>
  <c r="AO9" i="2" s="1"/>
  <c r="AN11" i="2"/>
  <c r="AM11" i="2"/>
  <c r="AL11" i="2"/>
  <c r="AK11" i="2"/>
  <c r="AJ11" i="2"/>
  <c r="AJ10" i="2" s="1"/>
  <c r="AJ9" i="2" s="1"/>
  <c r="AI11" i="2"/>
  <c r="AI10" i="2" s="1"/>
  <c r="AI9" i="2" s="1"/>
  <c r="AH11" i="2"/>
  <c r="AG11" i="2"/>
  <c r="AG10" i="2" s="1"/>
  <c r="AG9" i="2" s="1"/>
  <c r="AF11" i="2"/>
  <c r="AE11" i="2"/>
  <c r="AD11" i="2"/>
  <c r="AD10" i="2" s="1"/>
  <c r="AD9" i="2" s="1"/>
  <c r="AC11" i="2"/>
  <c r="AC10" i="2" s="1"/>
  <c r="AC9" i="2" s="1"/>
  <c r="AB11" i="2"/>
  <c r="AA11" i="2"/>
  <c r="AA10" i="2" s="1"/>
  <c r="AA9" i="2" s="1"/>
  <c r="Q11" i="2"/>
  <c r="N11" i="2"/>
  <c r="M11" i="2"/>
  <c r="L11" i="2"/>
  <c r="L10" i="2" s="1"/>
  <c r="L9" i="2" s="1"/>
  <c r="K11" i="2"/>
  <c r="H11" i="2"/>
  <c r="F11" i="2"/>
  <c r="E11" i="2"/>
  <c r="E10" i="2" s="1"/>
  <c r="E9" i="2" s="1"/>
  <c r="BJ10" i="2"/>
  <c r="BD10" i="2"/>
  <c r="BD9" i="2" s="1"/>
  <c r="AX10" i="2"/>
  <c r="AX9" i="2" s="1"/>
  <c r="AR10" i="2"/>
  <c r="AR9" i="2" s="1"/>
  <c r="AL10" i="2"/>
  <c r="AL9" i="2" s="1"/>
  <c r="AF10" i="2"/>
  <c r="AF9" i="2" s="1"/>
  <c r="N10" i="2"/>
  <c r="H10" i="2"/>
  <c r="H9" i="2" s="1"/>
  <c r="BN8" i="2"/>
  <c r="BE8" i="2"/>
  <c r="X8" i="2"/>
  <c r="V8" i="2"/>
  <c r="BT8" i="2" s="1"/>
  <c r="T8" i="2"/>
  <c r="S8" i="2"/>
  <c r="R8" i="2"/>
  <c r="Q8" i="2"/>
  <c r="Z8" i="2" s="1"/>
  <c r="P8" i="2"/>
  <c r="P5" i="2" s="1"/>
  <c r="O8" i="2"/>
  <c r="U8" i="2" s="1"/>
  <c r="BQ8" i="2" s="1"/>
  <c r="K8" i="2"/>
  <c r="G8" i="2"/>
  <c r="J8" i="2" s="1"/>
  <c r="Z7" i="2"/>
  <c r="Y7" i="2"/>
  <c r="X7" i="2"/>
  <c r="T7" i="2"/>
  <c r="S7" i="2"/>
  <c r="V7" i="2" s="1"/>
  <c r="BT7" i="2" s="1"/>
  <c r="R7" i="2"/>
  <c r="Q7" i="2"/>
  <c r="BO7" i="2" s="1"/>
  <c r="P7" i="2"/>
  <c r="O7" i="2"/>
  <c r="BN7" i="2" s="1"/>
  <c r="G7" i="2"/>
  <c r="BH6" i="2"/>
  <c r="BE6" i="2"/>
  <c r="BE5" i="2" s="1"/>
  <c r="BB6" i="2"/>
  <c r="O6" i="2" s="1"/>
  <c r="X6" i="2" s="1"/>
  <c r="AP6" i="2"/>
  <c r="AG6" i="2"/>
  <c r="Z6" i="2"/>
  <c r="Y6" i="2"/>
  <c r="S6" i="2"/>
  <c r="V6" i="2" s="1"/>
  <c r="BT6" i="2" s="1"/>
  <c r="R6" i="2"/>
  <c r="Q6" i="2"/>
  <c r="P6" i="2"/>
  <c r="K6" i="2"/>
  <c r="I6" i="2"/>
  <c r="G6" i="2"/>
  <c r="E6" i="2"/>
  <c r="BL5" i="2"/>
  <c r="BK5" i="2"/>
  <c r="BJ5" i="2"/>
  <c r="BI5" i="2"/>
  <c r="BI736" i="2" s="1"/>
  <c r="BH5" i="2"/>
  <c r="BG5" i="2"/>
  <c r="BF5" i="2"/>
  <c r="BD5" i="2"/>
  <c r="BC5" i="2"/>
  <c r="BC736" i="2" s="1"/>
  <c r="BB5" i="2"/>
  <c r="BA5" i="2"/>
  <c r="AZ5" i="2"/>
  <c r="AY5" i="2"/>
  <c r="AX5" i="2"/>
  <c r="AW5" i="2"/>
  <c r="AW736" i="2" s="1"/>
  <c r="AV5" i="2"/>
  <c r="AU5" i="2"/>
  <c r="AT5" i="2"/>
  <c r="AS5" i="2"/>
  <c r="AR5" i="2"/>
  <c r="AQ5" i="2"/>
  <c r="AQ736" i="2" s="1"/>
  <c r="AP5" i="2"/>
  <c r="AO5" i="2"/>
  <c r="AN5" i="2"/>
  <c r="AM5" i="2"/>
  <c r="AL5" i="2"/>
  <c r="AK5" i="2"/>
  <c r="AK736" i="2" s="1"/>
  <c r="AJ5" i="2"/>
  <c r="AI5" i="2"/>
  <c r="AH5" i="2"/>
  <c r="AG5" i="2"/>
  <c r="AF5" i="2"/>
  <c r="AE5" i="2"/>
  <c r="AE736" i="2" s="1"/>
  <c r="AD5" i="2"/>
  <c r="AC5" i="2"/>
  <c r="AB5" i="2"/>
  <c r="AA5" i="2"/>
  <c r="S5" i="2"/>
  <c r="N5" i="2"/>
  <c r="N736" i="2" s="1"/>
  <c r="M5" i="2"/>
  <c r="M736" i="2" s="1"/>
  <c r="L5" i="2"/>
  <c r="H5" i="2"/>
  <c r="H736" i="2" s="1"/>
  <c r="H735" i="2" s="1"/>
  <c r="F5" i="2"/>
  <c r="E5" i="2"/>
  <c r="BL4" i="2"/>
  <c r="BI4" i="2"/>
  <c r="BG4" i="2"/>
  <c r="BF4" i="2"/>
  <c r="BC4" i="2"/>
  <c r="BA4" i="2"/>
  <c r="AZ4" i="2"/>
  <c r="AW4" i="2"/>
  <c r="AU4" i="2"/>
  <c r="AT4" i="2"/>
  <c r="AQ4" i="2"/>
  <c r="AO4" i="2"/>
  <c r="AN4" i="2"/>
  <c r="AK4" i="2"/>
  <c r="AI4" i="2"/>
  <c r="AH4" i="2"/>
  <c r="AC4" i="2"/>
  <c r="AB4" i="2"/>
  <c r="E4" i="2"/>
  <c r="BM744" i="2" l="1"/>
  <c r="T744" i="2"/>
  <c r="M179" i="3" s="1"/>
  <c r="BM739" i="2"/>
  <c r="T195" i="2"/>
  <c r="BL738" i="2"/>
  <c r="BL195" i="2"/>
  <c r="BL166" i="2" s="1"/>
  <c r="S196" i="2"/>
  <c r="S195" i="2"/>
  <c r="R195" i="2"/>
  <c r="BL737" i="2"/>
  <c r="BM184" i="2"/>
  <c r="T184" i="2"/>
  <c r="BM737" i="2"/>
  <c r="R14" i="2"/>
  <c r="R10" i="2" s="1"/>
  <c r="T6" i="2"/>
  <c r="BM5" i="2"/>
  <c r="BM4" i="2" s="1"/>
  <c r="BT5" i="2"/>
  <c r="R5" i="2"/>
  <c r="BR19" i="2"/>
  <c r="T19" i="2"/>
  <c r="BO19" i="2" s="1"/>
  <c r="BP19" i="2" s="1"/>
  <c r="BS19" i="2" s="1"/>
  <c r="BM14" i="2"/>
  <c r="BM738" i="2" s="1"/>
  <c r="BQ19" i="2"/>
  <c r="BT19" i="2" s="1"/>
  <c r="R736" i="2"/>
  <c r="R4" i="2"/>
  <c r="BU46" i="2"/>
  <c r="I66" i="2"/>
  <c r="J66" i="2"/>
  <c r="U6" i="2"/>
  <c r="BE736" i="2"/>
  <c r="BE4" i="2"/>
  <c r="BT15" i="2"/>
  <c r="V14" i="2"/>
  <c r="BU20" i="2"/>
  <c r="BW20" i="2"/>
  <c r="BU23" i="2"/>
  <c r="BU37" i="2"/>
  <c r="BU40" i="2"/>
  <c r="BU47" i="2"/>
  <c r="BU52" i="2"/>
  <c r="X57" i="2"/>
  <c r="BN57" i="2"/>
  <c r="BP57" i="2" s="1"/>
  <c r="BU61" i="2"/>
  <c r="BP72" i="2"/>
  <c r="V76" i="2"/>
  <c r="U45" i="2"/>
  <c r="BQ45" i="2" s="1"/>
  <c r="BN45" i="2"/>
  <c r="X45" i="2"/>
  <c r="BU71" i="2"/>
  <c r="F736" i="2"/>
  <c r="F4" i="2"/>
  <c r="AD736" i="2"/>
  <c r="AD4" i="2"/>
  <c r="AJ736" i="2"/>
  <c r="AJ4" i="2"/>
  <c r="AP736" i="2"/>
  <c r="AP4" i="2"/>
  <c r="AV4" i="2"/>
  <c r="BB736" i="2"/>
  <c r="BB4" i="2"/>
  <c r="BP15" i="2"/>
  <c r="BP34" i="2"/>
  <c r="BP35" i="2"/>
  <c r="R64" i="2"/>
  <c r="BU70" i="2"/>
  <c r="BQ77" i="2"/>
  <c r="BP98" i="2"/>
  <c r="I11" i="2"/>
  <c r="BU51" i="2"/>
  <c r="X107" i="2"/>
  <c r="J107" i="2"/>
  <c r="U107" i="2"/>
  <c r="BQ107" i="2" s="1"/>
  <c r="BS107" i="2" s="1"/>
  <c r="BV107" i="2" s="1"/>
  <c r="BN107" i="2"/>
  <c r="BP107" i="2" s="1"/>
  <c r="J7" i="2"/>
  <c r="I7" i="2"/>
  <c r="G5" i="2"/>
  <c r="BU26" i="2"/>
  <c r="BU29" i="2"/>
  <c r="BU33" i="2"/>
  <c r="BU43" i="2"/>
  <c r="BU50" i="2"/>
  <c r="BW50" i="2"/>
  <c r="G64" i="2"/>
  <c r="BU69" i="2"/>
  <c r="BH736" i="2"/>
  <c r="BH4" i="2"/>
  <c r="BU13" i="2"/>
  <c r="BU27" i="2"/>
  <c r="L736" i="2"/>
  <c r="L4" i="2"/>
  <c r="V5" i="2"/>
  <c r="BP7" i="2"/>
  <c r="Y5" i="2"/>
  <c r="P4" i="2"/>
  <c r="AY10" i="2"/>
  <c r="AY9" i="2" s="1"/>
  <c r="AP10" i="2"/>
  <c r="AP9" i="2" s="1"/>
  <c r="BU17" i="2"/>
  <c r="BP21" i="2"/>
  <c r="BP38" i="2"/>
  <c r="BU62" i="2"/>
  <c r="BN68" i="2"/>
  <c r="BP68" i="2" s="1"/>
  <c r="J68" i="2"/>
  <c r="X68" i="2"/>
  <c r="Z76" i="2"/>
  <c r="BS93" i="2"/>
  <c r="BV93" i="2" s="1"/>
  <c r="BP16" i="2"/>
  <c r="BU44" i="2"/>
  <c r="O5" i="2"/>
  <c r="J6" i="2"/>
  <c r="BU32" i="2"/>
  <c r="X54" i="2"/>
  <c r="BN54" i="2"/>
  <c r="BP54" i="2" s="1"/>
  <c r="U54" i="2"/>
  <c r="BQ54" i="2" s="1"/>
  <c r="BU56" i="2"/>
  <c r="X66" i="2"/>
  <c r="BN66" i="2"/>
  <c r="BP66" i="2" s="1"/>
  <c r="O64" i="2"/>
  <c r="BS67" i="2"/>
  <c r="BV67" i="2" s="1"/>
  <c r="BP73" i="2"/>
  <c r="BU85" i="2"/>
  <c r="Z104" i="2"/>
  <c r="BU116" i="2"/>
  <c r="BN148" i="2"/>
  <c r="W16" i="2"/>
  <c r="BR16" i="2" s="1"/>
  <c r="U30" i="2"/>
  <c r="BQ30" i="2" s="1"/>
  <c r="BS30" i="2" s="1"/>
  <c r="BV30" i="2" s="1"/>
  <c r="W39" i="2"/>
  <c r="BR39" i="2" s="1"/>
  <c r="W45" i="2"/>
  <c r="BR45" i="2" s="1"/>
  <c r="BO58" i="2"/>
  <c r="BP58" i="2" s="1"/>
  <c r="W65" i="2"/>
  <c r="J92" i="2"/>
  <c r="I92" i="2"/>
  <c r="U94" i="2"/>
  <c r="BQ94" i="2" s="1"/>
  <c r="BS94" i="2" s="1"/>
  <c r="BV94" i="2" s="1"/>
  <c r="Z118" i="2"/>
  <c r="Y231" i="2"/>
  <c r="P217" i="2"/>
  <c r="K5" i="2"/>
  <c r="Q5" i="2"/>
  <c r="AC736" i="2"/>
  <c r="AC735" i="2" s="1"/>
  <c r="AI736" i="2"/>
  <c r="AO736" i="2"/>
  <c r="AU736" i="2"/>
  <c r="AU735" i="2" s="1"/>
  <c r="BA736" i="2"/>
  <c r="BA735" i="2" s="1"/>
  <c r="BG736" i="2"/>
  <c r="W6" i="2"/>
  <c r="W7" i="2"/>
  <c r="BR7" i="2" s="1"/>
  <c r="M10" i="2"/>
  <c r="M9" i="2" s="1"/>
  <c r="AK10" i="2"/>
  <c r="AQ10" i="2"/>
  <c r="AW10" i="2"/>
  <c r="BC10" i="2"/>
  <c r="BI10" i="2"/>
  <c r="Z11" i="2"/>
  <c r="O12" i="2"/>
  <c r="W13" i="2"/>
  <c r="BR13" i="2" s="1"/>
  <c r="O14" i="2"/>
  <c r="W15" i="2"/>
  <c r="BO16" i="2"/>
  <c r="U17" i="2"/>
  <c r="BQ17" i="2" s="1"/>
  <c r="J18" i="2"/>
  <c r="Z18" i="2"/>
  <c r="X20" i="2"/>
  <c r="W21" i="2"/>
  <c r="BR21" i="2" s="1"/>
  <c r="BO22" i="2"/>
  <c r="BP22" i="2" s="1"/>
  <c r="U23" i="2"/>
  <c r="BQ23" i="2" s="1"/>
  <c r="J24" i="2"/>
  <c r="Z24" i="2"/>
  <c r="X26" i="2"/>
  <c r="W27" i="2"/>
  <c r="BR27" i="2" s="1"/>
  <c r="BO28" i="2"/>
  <c r="BP28" i="2" s="1"/>
  <c r="U29" i="2"/>
  <c r="BQ29" i="2" s="1"/>
  <c r="J30" i="2"/>
  <c r="Z30" i="2"/>
  <c r="X32" i="2"/>
  <c r="W33" i="2"/>
  <c r="BR33" i="2" s="1"/>
  <c r="BO34" i="2"/>
  <c r="X37" i="2"/>
  <c r="W38" i="2"/>
  <c r="BR38" i="2" s="1"/>
  <c r="BO39" i="2"/>
  <c r="BP39" i="2" s="1"/>
  <c r="U40" i="2"/>
  <c r="BQ40" i="2" s="1"/>
  <c r="BS40" i="2" s="1"/>
  <c r="BV40" i="2" s="1"/>
  <c r="BW40" i="2" s="1"/>
  <c r="J41" i="2"/>
  <c r="Z41" i="2"/>
  <c r="X43" i="2"/>
  <c r="W44" i="2"/>
  <c r="BR44" i="2" s="1"/>
  <c r="W46" i="2"/>
  <c r="BR46" i="2" s="1"/>
  <c r="BS46" i="2" s="1"/>
  <c r="BV46" i="2" s="1"/>
  <c r="BW46" i="2" s="1"/>
  <c r="U47" i="2"/>
  <c r="BQ47" i="2" s="1"/>
  <c r="J48" i="2"/>
  <c r="Z48" i="2"/>
  <c r="X50" i="2"/>
  <c r="W51" i="2"/>
  <c r="BR51" i="2" s="1"/>
  <c r="U52" i="2"/>
  <c r="BQ52" i="2" s="1"/>
  <c r="J53" i="2"/>
  <c r="Z53" i="2"/>
  <c r="BO55" i="2"/>
  <c r="BP55" i="2" s="1"/>
  <c r="U56" i="2"/>
  <c r="BQ56" i="2" s="1"/>
  <c r="J57" i="2"/>
  <c r="J59" i="2"/>
  <c r="Z59" i="2"/>
  <c r="X61" i="2"/>
  <c r="W62" i="2"/>
  <c r="BR62" i="2" s="1"/>
  <c r="BO63" i="2"/>
  <c r="BP63" i="2" s="1"/>
  <c r="V65" i="2"/>
  <c r="BO65" i="2"/>
  <c r="BO64" i="2" s="1"/>
  <c r="W68" i="2"/>
  <c r="BR68" i="2" s="1"/>
  <c r="BS68" i="2" s="1"/>
  <c r="BV68" i="2" s="1"/>
  <c r="W69" i="2"/>
  <c r="BR69" i="2" s="1"/>
  <c r="W70" i="2"/>
  <c r="BR70" i="2" s="1"/>
  <c r="W71" i="2"/>
  <c r="BR71" i="2" s="1"/>
  <c r="W72" i="2"/>
  <c r="BR72" i="2" s="1"/>
  <c r="W73" i="2"/>
  <c r="BR73" i="2" s="1"/>
  <c r="BO74" i="2"/>
  <c r="BP74" i="2" s="1"/>
  <c r="Z75" i="2"/>
  <c r="K76" i="2"/>
  <c r="BT77" i="2"/>
  <c r="BT76" i="2" s="1"/>
  <c r="W78" i="2"/>
  <c r="BR78" i="2" s="1"/>
  <c r="BR76" i="2" s="1"/>
  <c r="J81" i="2"/>
  <c r="I81" i="2"/>
  <c r="U81" i="2"/>
  <c r="BQ81" i="2" s="1"/>
  <c r="BS81" i="2" s="1"/>
  <c r="BV81" i="2" s="1"/>
  <c r="J94" i="2"/>
  <c r="I94" i="2"/>
  <c r="BP95" i="2"/>
  <c r="I96" i="2"/>
  <c r="Z98" i="2"/>
  <c r="BO98" i="2"/>
  <c r="X98" i="2"/>
  <c r="Z99" i="2"/>
  <c r="Z100" i="2"/>
  <c r="U103" i="2"/>
  <c r="BQ103" i="2" s="1"/>
  <c r="R742" i="2"/>
  <c r="S104" i="2"/>
  <c r="AE104" i="2"/>
  <c r="AH108" i="2"/>
  <c r="AH743" i="2" s="1"/>
  <c r="P109" i="2"/>
  <c r="Z112" i="2"/>
  <c r="O113" i="2"/>
  <c r="J116" i="2"/>
  <c r="I116" i="2"/>
  <c r="G113" i="2"/>
  <c r="Z120" i="2"/>
  <c r="V123" i="2"/>
  <c r="S122" i="2"/>
  <c r="J124" i="2"/>
  <c r="G122" i="2"/>
  <c r="I124" i="2"/>
  <c r="J128" i="2"/>
  <c r="X133" i="2"/>
  <c r="O132" i="2"/>
  <c r="X132" i="2" s="1"/>
  <c r="U133" i="2"/>
  <c r="BO139" i="2"/>
  <c r="BP139" i="2" s="1"/>
  <c r="Z139" i="2"/>
  <c r="Q137" i="2"/>
  <c r="Z137" i="2" s="1"/>
  <c r="BN141" i="2"/>
  <c r="BP146" i="2"/>
  <c r="R150" i="2"/>
  <c r="G155" i="2"/>
  <c r="J156" i="2"/>
  <c r="I156" i="2"/>
  <c r="AY166" i="2"/>
  <c r="BE166" i="2"/>
  <c r="BK166" i="2"/>
  <c r="BT169" i="2"/>
  <c r="BT168" i="2" s="1"/>
  <c r="V168" i="2"/>
  <c r="J173" i="2"/>
  <c r="I173" i="2"/>
  <c r="G171" i="2"/>
  <c r="J178" i="2"/>
  <c r="I178" i="2"/>
  <c r="BN189" i="2"/>
  <c r="BR190" i="2"/>
  <c r="BR189" i="2" s="1"/>
  <c r="W189" i="2"/>
  <c r="V198" i="2"/>
  <c r="L195" i="2"/>
  <c r="U24" i="2"/>
  <c r="BQ24" i="2" s="1"/>
  <c r="BS24" i="2" s="1"/>
  <c r="BV24" i="2" s="1"/>
  <c r="W28" i="2"/>
  <c r="BR28" i="2" s="1"/>
  <c r="BN30" i="2"/>
  <c r="W34" i="2"/>
  <c r="BR34" i="2" s="1"/>
  <c r="U41" i="2"/>
  <c r="BQ41" i="2" s="1"/>
  <c r="BS41" i="2" s="1"/>
  <c r="BV41" i="2" s="1"/>
  <c r="BN48" i="2"/>
  <c r="BP48" i="2" s="1"/>
  <c r="BU97" i="2"/>
  <c r="BU100" i="2"/>
  <c r="BW100" i="2"/>
  <c r="G137" i="2"/>
  <c r="J138" i="2"/>
  <c r="I138" i="2"/>
  <c r="J224" i="2"/>
  <c r="I224" i="2"/>
  <c r="J260" i="2"/>
  <c r="I260" i="2"/>
  <c r="W8" i="2"/>
  <c r="BR8" i="2" s="1"/>
  <c r="BS8" i="2" s="1"/>
  <c r="BV8" i="2" s="1"/>
  <c r="BO8" i="2"/>
  <c r="BP8" i="2" s="1"/>
  <c r="P11" i="2"/>
  <c r="V11" i="2"/>
  <c r="W12" i="2"/>
  <c r="I13" i="2"/>
  <c r="K14" i="2"/>
  <c r="K738" i="2" s="1"/>
  <c r="Q14" i="2"/>
  <c r="Q10" i="2" s="1"/>
  <c r="I15" i="2"/>
  <c r="W17" i="2"/>
  <c r="BR17" i="2" s="1"/>
  <c r="BO18" i="2"/>
  <c r="BO14" i="2" s="1"/>
  <c r="U19" i="2"/>
  <c r="J20" i="2"/>
  <c r="I21" i="2"/>
  <c r="W23" i="2"/>
  <c r="BR23" i="2" s="1"/>
  <c r="BO24" i="2"/>
  <c r="U25" i="2"/>
  <c r="BQ25" i="2" s="1"/>
  <c r="BS25" i="2" s="1"/>
  <c r="BV25" i="2" s="1"/>
  <c r="BN25" i="2"/>
  <c r="BP25" i="2" s="1"/>
  <c r="I27" i="2"/>
  <c r="W29" i="2"/>
  <c r="BR29" i="2" s="1"/>
  <c r="BO30" i="2"/>
  <c r="U31" i="2"/>
  <c r="BQ31" i="2" s="1"/>
  <c r="BS31" i="2" s="1"/>
  <c r="BV31" i="2" s="1"/>
  <c r="BN31" i="2"/>
  <c r="BP31" i="2" s="1"/>
  <c r="J32" i="2"/>
  <c r="I33" i="2"/>
  <c r="W35" i="2"/>
  <c r="BR35" i="2" s="1"/>
  <c r="BS35" i="2" s="1"/>
  <c r="BV35" i="2" s="1"/>
  <c r="BO35" i="2"/>
  <c r="U36" i="2"/>
  <c r="BQ36" i="2" s="1"/>
  <c r="BS36" i="2" s="1"/>
  <c r="BV36" i="2" s="1"/>
  <c r="BN36" i="2"/>
  <c r="BP36" i="2" s="1"/>
  <c r="I38" i="2"/>
  <c r="W40" i="2"/>
  <c r="BR40" i="2" s="1"/>
  <c r="BO41" i="2"/>
  <c r="U42" i="2"/>
  <c r="BQ42" i="2" s="1"/>
  <c r="BS42" i="2" s="1"/>
  <c r="BV42" i="2" s="1"/>
  <c r="BN42" i="2"/>
  <c r="BP42" i="2" s="1"/>
  <c r="I44" i="2"/>
  <c r="W47" i="2"/>
  <c r="BR47" i="2" s="1"/>
  <c r="BO48" i="2"/>
  <c r="U49" i="2"/>
  <c r="BQ49" i="2" s="1"/>
  <c r="BS49" i="2" s="1"/>
  <c r="BV49" i="2" s="1"/>
  <c r="BN49" i="2"/>
  <c r="BP49" i="2" s="1"/>
  <c r="I51" i="2"/>
  <c r="W52" i="2"/>
  <c r="BR52" i="2" s="1"/>
  <c r="BO53" i="2"/>
  <c r="W56" i="2"/>
  <c r="BR56" i="2" s="1"/>
  <c r="BO59" i="2"/>
  <c r="U60" i="2"/>
  <c r="BQ60" i="2" s="1"/>
  <c r="BS60" i="2" s="1"/>
  <c r="BV60" i="2" s="1"/>
  <c r="BN60" i="2"/>
  <c r="BP60" i="2" s="1"/>
  <c r="J61" i="2"/>
  <c r="I62" i="2"/>
  <c r="P64" i="2"/>
  <c r="U66" i="2"/>
  <c r="BQ66" i="2" s="1"/>
  <c r="BS66" i="2" s="1"/>
  <c r="BV66" i="2" s="1"/>
  <c r="W67" i="2"/>
  <c r="BR67" i="2" s="1"/>
  <c r="BN67" i="2"/>
  <c r="BP67" i="2" s="1"/>
  <c r="BN75" i="2"/>
  <c r="BP75" i="2" s="1"/>
  <c r="G76" i="2"/>
  <c r="M741" i="2"/>
  <c r="S76" i="2"/>
  <c r="Z77" i="2"/>
  <c r="BO77" i="2"/>
  <c r="X81" i="2"/>
  <c r="I84" i="2"/>
  <c r="Z87" i="2"/>
  <c r="W96" i="2"/>
  <c r="BR96" i="2" s="1"/>
  <c r="U101" i="2"/>
  <c r="BQ101" i="2" s="1"/>
  <c r="BS101" i="2" s="1"/>
  <c r="BV101" i="2" s="1"/>
  <c r="U105" i="2"/>
  <c r="BT105" i="2"/>
  <c r="BT104" i="2" s="1"/>
  <c r="V104" i="2"/>
  <c r="BU105" i="2"/>
  <c r="Z106" i="2"/>
  <c r="U110" i="2"/>
  <c r="BQ110" i="2" s="1"/>
  <c r="X116" i="2"/>
  <c r="V143" i="2"/>
  <c r="S137" i="2"/>
  <c r="J144" i="2"/>
  <c r="I144" i="2"/>
  <c r="N150" i="2"/>
  <c r="BQ156" i="2"/>
  <c r="BR156" i="2"/>
  <c r="BR155" i="2" s="1"/>
  <c r="W155" i="2"/>
  <c r="J187" i="2"/>
  <c r="G185" i="2"/>
  <c r="I187" i="2"/>
  <c r="Z219" i="2"/>
  <c r="Q217" i="2"/>
  <c r="BO219" i="2"/>
  <c r="BP219" i="2" s="1"/>
  <c r="W219" i="2"/>
  <c r="BR219" i="2" s="1"/>
  <c r="BN24" i="2"/>
  <c r="BP24" i="2" s="1"/>
  <c r="U48" i="2"/>
  <c r="BQ48" i="2" s="1"/>
  <c r="BS48" i="2" s="1"/>
  <c r="BV48" i="2" s="1"/>
  <c r="BN59" i="2"/>
  <c r="BP59" i="2" s="1"/>
  <c r="J105" i="2"/>
  <c r="O111" i="2"/>
  <c r="O108" i="2" s="1"/>
  <c r="AM108" i="2"/>
  <c r="AM743" i="2" s="1"/>
  <c r="BT129" i="2"/>
  <c r="BT128" i="2" s="1"/>
  <c r="V128" i="2"/>
  <c r="Y169" i="2"/>
  <c r="P168" i="2"/>
  <c r="F5" i="3"/>
  <c r="J191" i="2"/>
  <c r="I191" i="2"/>
  <c r="BP210" i="2"/>
  <c r="M4" i="2"/>
  <c r="S4" i="2"/>
  <c r="AE4" i="2"/>
  <c r="AF736" i="2"/>
  <c r="AF735" i="2" s="1"/>
  <c r="AL736" i="2"/>
  <c r="AR736" i="2"/>
  <c r="AR735" i="2" s="1"/>
  <c r="AX736" i="2"/>
  <c r="BD736" i="2"/>
  <c r="BJ736" i="2"/>
  <c r="I8" i="2"/>
  <c r="AB10" i="2"/>
  <c r="AB9" i="2" s="1"/>
  <c r="AT10" i="2"/>
  <c r="AT9" i="2" s="1"/>
  <c r="BF10" i="2"/>
  <c r="BF9" i="2" s="1"/>
  <c r="BL10" i="2"/>
  <c r="BL9" i="2" s="1"/>
  <c r="I12" i="2"/>
  <c r="L738" i="2"/>
  <c r="J15" i="2"/>
  <c r="U20" i="2"/>
  <c r="BQ20" i="2" s="1"/>
  <c r="BS20" i="2" s="1"/>
  <c r="BV20" i="2" s="1"/>
  <c r="U26" i="2"/>
  <c r="BQ26" i="2" s="1"/>
  <c r="BS26" i="2" s="1"/>
  <c r="BV26" i="2" s="1"/>
  <c r="BW26" i="2" s="1"/>
  <c r="U32" i="2"/>
  <c r="BQ32" i="2" s="1"/>
  <c r="BS32" i="2" s="1"/>
  <c r="BV32" i="2" s="1"/>
  <c r="BW32" i="2" s="1"/>
  <c r="U37" i="2"/>
  <c r="BQ37" i="2" s="1"/>
  <c r="BS37" i="2" s="1"/>
  <c r="BV37" i="2" s="1"/>
  <c r="BW37" i="2" s="1"/>
  <c r="U43" i="2"/>
  <c r="BQ43" i="2" s="1"/>
  <c r="BS43" i="2" s="1"/>
  <c r="BV43" i="2" s="1"/>
  <c r="BW43" i="2" s="1"/>
  <c r="BO45" i="2"/>
  <c r="U50" i="2"/>
  <c r="BQ50" i="2" s="1"/>
  <c r="BS50" i="2" s="1"/>
  <c r="BV50" i="2" s="1"/>
  <c r="U61" i="2"/>
  <c r="BQ61" i="2" s="1"/>
  <c r="BS61" i="2" s="1"/>
  <c r="BV61" i="2" s="1"/>
  <c r="BW61" i="2" s="1"/>
  <c r="Q64" i="2"/>
  <c r="W75" i="2"/>
  <c r="BR75" i="2" s="1"/>
  <c r="J79" i="2"/>
  <c r="BP82" i="2"/>
  <c r="BO83" i="2"/>
  <c r="O84" i="2"/>
  <c r="O86" i="2"/>
  <c r="J86" i="2" s="1"/>
  <c r="BP93" i="2"/>
  <c r="Z94" i="2"/>
  <c r="BO94" i="2"/>
  <c r="BP94" i="2" s="1"/>
  <c r="X94" i="2"/>
  <c r="Z96" i="2"/>
  <c r="J98" i="2"/>
  <c r="I98" i="2"/>
  <c r="P104" i="2"/>
  <c r="X105" i="2"/>
  <c r="BO106" i="2"/>
  <c r="BO104" i="2" s="1"/>
  <c r="I108" i="2"/>
  <c r="U109" i="2"/>
  <c r="V111" i="2"/>
  <c r="BT111" i="2" s="1"/>
  <c r="BB113" i="2"/>
  <c r="BB744" i="2" s="1"/>
  <c r="V114" i="2"/>
  <c r="BP117" i="2"/>
  <c r="G745" i="2"/>
  <c r="I118" i="2"/>
  <c r="J119" i="2"/>
  <c r="I119" i="2"/>
  <c r="T746" i="2"/>
  <c r="Y122" i="2"/>
  <c r="F127" i="2"/>
  <c r="BR129" i="2"/>
  <c r="U131" i="2"/>
  <c r="BQ131" i="2" s="1"/>
  <c r="BS131" i="2" s="1"/>
  <c r="BV131" i="2" s="1"/>
  <c r="J132" i="2"/>
  <c r="I132" i="2"/>
  <c r="BQ152" i="2"/>
  <c r="U151" i="2"/>
  <c r="AU166" i="2"/>
  <c r="BU177" i="2"/>
  <c r="BR208" i="2"/>
  <c r="BR207" i="2" s="1"/>
  <c r="BU214" i="2"/>
  <c r="BU221" i="2"/>
  <c r="AH738" i="2"/>
  <c r="BN18" i="2"/>
  <c r="W22" i="2"/>
  <c r="BR22" i="2" s="1"/>
  <c r="BN41" i="2"/>
  <c r="BP41" i="2" s="1"/>
  <c r="BN53" i="2"/>
  <c r="BP53" i="2" s="1"/>
  <c r="U59" i="2"/>
  <c r="BQ59" i="2" s="1"/>
  <c r="BS59" i="2" s="1"/>
  <c r="BV59" i="2" s="1"/>
  <c r="W63" i="2"/>
  <c r="BR63" i="2" s="1"/>
  <c r="W74" i="2"/>
  <c r="BR74" i="2" s="1"/>
  <c r="U75" i="2"/>
  <c r="BQ75" i="2" s="1"/>
  <c r="BS75" i="2" s="1"/>
  <c r="BV75" i="2" s="1"/>
  <c r="Z83" i="2"/>
  <c r="BN103" i="2"/>
  <c r="BP103" i="2" s="1"/>
  <c r="J103" i="2"/>
  <c r="BU121" i="2"/>
  <c r="BU120" i="2" s="1"/>
  <c r="BP120" i="2"/>
  <c r="BO145" i="2"/>
  <c r="BP145" i="2" s="1"/>
  <c r="Z145" i="2"/>
  <c r="J151" i="2"/>
  <c r="I151" i="2"/>
  <c r="BN163" i="2"/>
  <c r="BP164" i="2"/>
  <c r="Y205" i="2"/>
  <c r="P204" i="2"/>
  <c r="Y204" i="2" s="1"/>
  <c r="BU228" i="2"/>
  <c r="H4" i="2"/>
  <c r="N4" i="2"/>
  <c r="AF4" i="2"/>
  <c r="AL4" i="2"/>
  <c r="AR4" i="2"/>
  <c r="AX4" i="2"/>
  <c r="BD4" i="2"/>
  <c r="BJ4" i="2"/>
  <c r="AA736" i="2"/>
  <c r="AG736" i="2"/>
  <c r="AS736" i="2"/>
  <c r="AS735" i="2" s="1"/>
  <c r="BK736" i="2"/>
  <c r="U7" i="2"/>
  <c r="BQ7" i="2" s="1"/>
  <c r="BS7" i="2" s="1"/>
  <c r="BV7" i="2" s="1"/>
  <c r="Y8" i="2"/>
  <c r="J12" i="2"/>
  <c r="BO12" i="2"/>
  <c r="BO11" i="2" s="1"/>
  <c r="U13" i="2"/>
  <c r="BQ13" i="2" s="1"/>
  <c r="BS13" i="2" s="1"/>
  <c r="BV13" i="2" s="1"/>
  <c r="BW13" i="2" s="1"/>
  <c r="S14" i="2"/>
  <c r="S10" i="2" s="1"/>
  <c r="Y14" i="2"/>
  <c r="U15" i="2"/>
  <c r="I17" i="2"/>
  <c r="X18" i="2"/>
  <c r="U21" i="2"/>
  <c r="BQ21" i="2" s="1"/>
  <c r="BS21" i="2" s="1"/>
  <c r="BV21" i="2" s="1"/>
  <c r="I23" i="2"/>
  <c r="U27" i="2"/>
  <c r="BQ27" i="2" s="1"/>
  <c r="BS27" i="2" s="1"/>
  <c r="BV27" i="2" s="1"/>
  <c r="BW27" i="2" s="1"/>
  <c r="I29" i="2"/>
  <c r="U33" i="2"/>
  <c r="BQ33" i="2" s="1"/>
  <c r="I35" i="2"/>
  <c r="U38" i="2"/>
  <c r="BQ38" i="2" s="1"/>
  <c r="BS38" i="2" s="1"/>
  <c r="BV38" i="2" s="1"/>
  <c r="I40" i="2"/>
  <c r="U44" i="2"/>
  <c r="BQ44" i="2" s="1"/>
  <c r="BS44" i="2" s="1"/>
  <c r="BV44" i="2" s="1"/>
  <c r="BW44" i="2" s="1"/>
  <c r="I47" i="2"/>
  <c r="U51" i="2"/>
  <c r="BQ51" i="2" s="1"/>
  <c r="BS51" i="2" s="1"/>
  <c r="BV51" i="2" s="1"/>
  <c r="BW51" i="2" s="1"/>
  <c r="I52" i="2"/>
  <c r="X53" i="2"/>
  <c r="W54" i="2"/>
  <c r="BR54" i="2" s="1"/>
  <c r="Z55" i="2"/>
  <c r="I56" i="2"/>
  <c r="W57" i="2"/>
  <c r="BR57" i="2" s="1"/>
  <c r="BS57" i="2" s="1"/>
  <c r="BV57" i="2" s="1"/>
  <c r="Z58" i="2"/>
  <c r="U62" i="2"/>
  <c r="BQ62" i="2" s="1"/>
  <c r="BS62" i="2" s="1"/>
  <c r="BV62" i="2" s="1"/>
  <c r="BW62" i="2" s="1"/>
  <c r="F64" i="2"/>
  <c r="F740" i="2" s="1"/>
  <c r="BB64" i="2"/>
  <c r="BB740" i="2" s="1"/>
  <c r="J65" i="2"/>
  <c r="U69" i="2"/>
  <c r="BQ69" i="2" s="1"/>
  <c r="BS69" i="2" s="1"/>
  <c r="BV69" i="2" s="1"/>
  <c r="BW69" i="2" s="1"/>
  <c r="U70" i="2"/>
  <c r="BQ70" i="2" s="1"/>
  <c r="U71" i="2"/>
  <c r="BQ71" i="2" s="1"/>
  <c r="BS71" i="2" s="1"/>
  <c r="BV71" i="2" s="1"/>
  <c r="BW71" i="2" s="1"/>
  <c r="U72" i="2"/>
  <c r="BQ72" i="2" s="1"/>
  <c r="BS72" i="2" s="1"/>
  <c r="BV72" i="2" s="1"/>
  <c r="U73" i="2"/>
  <c r="BQ73" i="2" s="1"/>
  <c r="BS73" i="2" s="1"/>
  <c r="BV73" i="2" s="1"/>
  <c r="I75" i="2"/>
  <c r="BO78" i="2"/>
  <c r="BP78" i="2" s="1"/>
  <c r="U79" i="2"/>
  <c r="BQ79" i="2" s="1"/>
  <c r="BS79" i="2" s="1"/>
  <c r="BV79" i="2" s="1"/>
  <c r="BP80" i="2"/>
  <c r="BO81" i="2"/>
  <c r="BP81" i="2" s="1"/>
  <c r="J87" i="2"/>
  <c r="I87" i="2"/>
  <c r="BS89" i="2"/>
  <c r="BV89" i="2" s="1"/>
  <c r="BP89" i="2"/>
  <c r="J90" i="2"/>
  <c r="BP91" i="2"/>
  <c r="Z101" i="2"/>
  <c r="BO101" i="2"/>
  <c r="BP101" i="2" s="1"/>
  <c r="X101" i="2"/>
  <c r="Z102" i="2"/>
  <c r="O104" i="2"/>
  <c r="Y105" i="2"/>
  <c r="J106" i="2"/>
  <c r="I106" i="2"/>
  <c r="G104" i="2"/>
  <c r="X109" i="2"/>
  <c r="P113" i="2"/>
  <c r="Y114" i="2"/>
  <c r="K118" i="2"/>
  <c r="K745" i="2" s="1"/>
  <c r="U119" i="2"/>
  <c r="Z122" i="2"/>
  <c r="O128" i="2"/>
  <c r="AE127" i="2"/>
  <c r="AK127" i="2"/>
  <c r="AQ127" i="2"/>
  <c r="AW127" i="2"/>
  <c r="BC127" i="2"/>
  <c r="BI127" i="2"/>
  <c r="BR138" i="2"/>
  <c r="U141" i="2"/>
  <c r="BQ141" i="2" s="1"/>
  <c r="X149" i="2"/>
  <c r="O148" i="2"/>
  <c r="X148" i="2" s="1"/>
  <c r="U149" i="2"/>
  <c r="M120" i="3"/>
  <c r="M147" i="3" s="1"/>
  <c r="BM127" i="2"/>
  <c r="X152" i="2"/>
  <c r="BN152" i="2"/>
  <c r="O151" i="2"/>
  <c r="Z156" i="2"/>
  <c r="BO156" i="2"/>
  <c r="BO155" i="2" s="1"/>
  <c r="Q155" i="2"/>
  <c r="Z155" i="2" s="1"/>
  <c r="BN158" i="2"/>
  <c r="AO166" i="2"/>
  <c r="L166" i="2"/>
  <c r="X172" i="2"/>
  <c r="BN172" i="2"/>
  <c r="X200" i="2"/>
  <c r="U200" i="2"/>
  <c r="BU245" i="2"/>
  <c r="BP79" i="2"/>
  <c r="Z85" i="2"/>
  <c r="BW92" i="2"/>
  <c r="BT109" i="2"/>
  <c r="BT108" i="2" s="1"/>
  <c r="X114" i="2"/>
  <c r="U114" i="2"/>
  <c r="BN114" i="2"/>
  <c r="U116" i="2"/>
  <c r="BQ116" i="2" s="1"/>
  <c r="V745" i="2"/>
  <c r="BP156" i="2"/>
  <c r="BN155" i="2"/>
  <c r="X169" i="2"/>
  <c r="U169" i="2"/>
  <c r="O168" i="2"/>
  <c r="BN169" i="2"/>
  <c r="BP188" i="2"/>
  <c r="AA4" i="2"/>
  <c r="AG4" i="2"/>
  <c r="AM4" i="2"/>
  <c r="AS4" i="2"/>
  <c r="AY4" i="2"/>
  <c r="BK4" i="2"/>
  <c r="AB736" i="2"/>
  <c r="AH736" i="2"/>
  <c r="AN736" i="2"/>
  <c r="AT736" i="2"/>
  <c r="AZ736" i="2"/>
  <c r="BF736" i="2"/>
  <c r="BL736" i="2"/>
  <c r="BJ738" i="2"/>
  <c r="U16" i="2"/>
  <c r="BQ16" i="2" s="1"/>
  <c r="BS16" i="2" s="1"/>
  <c r="BV16" i="2" s="1"/>
  <c r="U22" i="2"/>
  <c r="BQ22" i="2" s="1"/>
  <c r="U28" i="2"/>
  <c r="BQ28" i="2" s="1"/>
  <c r="BS28" i="2" s="1"/>
  <c r="BV28" i="2" s="1"/>
  <c r="U34" i="2"/>
  <c r="BQ34" i="2" s="1"/>
  <c r="BS34" i="2" s="1"/>
  <c r="BV34" i="2" s="1"/>
  <c r="U39" i="2"/>
  <c r="BQ39" i="2" s="1"/>
  <c r="BS39" i="2" s="1"/>
  <c r="BV39" i="2" s="1"/>
  <c r="U55" i="2"/>
  <c r="BQ55" i="2" s="1"/>
  <c r="BS55" i="2" s="1"/>
  <c r="BV55" i="2" s="1"/>
  <c r="U63" i="2"/>
  <c r="BQ63" i="2" s="1"/>
  <c r="BS63" i="2" s="1"/>
  <c r="BV63" i="2" s="1"/>
  <c r="U65" i="2"/>
  <c r="U74" i="2"/>
  <c r="BQ74" i="2" s="1"/>
  <c r="BS74" i="2" s="1"/>
  <c r="BV74" i="2" s="1"/>
  <c r="P76" i="2"/>
  <c r="AN76" i="2"/>
  <c r="AN741" i="2" s="1"/>
  <c r="AZ76" i="2"/>
  <c r="AZ741" i="2" s="1"/>
  <c r="J77" i="2"/>
  <c r="I77" i="2"/>
  <c r="U82" i="2"/>
  <c r="BQ82" i="2" s="1"/>
  <c r="BP83" i="2"/>
  <c r="Z84" i="2"/>
  <c r="BO84" i="2"/>
  <c r="W85" i="2"/>
  <c r="BR85" i="2" s="1"/>
  <c r="BO86" i="2"/>
  <c r="Z89" i="2"/>
  <c r="BU92" i="2"/>
  <c r="O96" i="2"/>
  <c r="W98" i="2"/>
  <c r="BR98" i="2" s="1"/>
  <c r="BS98" i="2" s="1"/>
  <c r="BV98" i="2" s="1"/>
  <c r="T742" i="2"/>
  <c r="BP109" i="2"/>
  <c r="W112" i="2"/>
  <c r="BR112" i="2" s="1"/>
  <c r="BR114" i="2"/>
  <c r="BO113" i="2"/>
  <c r="J118" i="2"/>
  <c r="X119" i="2"/>
  <c r="BO125" i="2"/>
  <c r="BP125" i="2" s="1"/>
  <c r="Z125" i="2"/>
  <c r="I128" i="2"/>
  <c r="R127" i="2"/>
  <c r="BO129" i="2"/>
  <c r="BO128" i="2" s="1"/>
  <c r="Z129" i="2"/>
  <c r="Q128" i="2"/>
  <c r="Y130" i="2"/>
  <c r="P128" i="2"/>
  <c r="BN131" i="2"/>
  <c r="BP131" i="2" s="1"/>
  <c r="V132" i="2"/>
  <c r="BT135" i="2"/>
  <c r="BT132" i="2" s="1"/>
  <c r="J136" i="2"/>
  <c r="I136" i="2"/>
  <c r="R137" i="2"/>
  <c r="BP140" i="2"/>
  <c r="W145" i="2"/>
  <c r="BR145" i="2" s="1"/>
  <c r="U147" i="2"/>
  <c r="BQ147" i="2" s="1"/>
  <c r="J148" i="2"/>
  <c r="I148" i="2"/>
  <c r="T150" i="2"/>
  <c r="T127" i="2" s="1"/>
  <c r="Z152" i="2"/>
  <c r="Q151" i="2"/>
  <c r="BO152" i="2"/>
  <c r="BO151" i="2" s="1"/>
  <c r="W152" i="2"/>
  <c r="V157" i="2"/>
  <c r="S155" i="2"/>
  <c r="S150" i="2" s="1"/>
  <c r="L147" i="3" s="1"/>
  <c r="N147" i="3" s="1"/>
  <c r="Q161" i="2"/>
  <c r="BJ160" i="2"/>
  <c r="BJ150" i="2" s="1"/>
  <c r="BJ127" i="2" s="1"/>
  <c r="BJ9" i="2" s="1"/>
  <c r="AC166" i="2"/>
  <c r="AC3" i="2" s="1"/>
  <c r="AC734" i="2" s="1"/>
  <c r="AI166" i="2"/>
  <c r="BP179" i="2"/>
  <c r="BP211" i="2"/>
  <c r="BN237" i="2"/>
  <c r="BP238" i="2"/>
  <c r="U78" i="2"/>
  <c r="BQ78" i="2" s="1"/>
  <c r="BS78" i="2" s="1"/>
  <c r="BV78" i="2" s="1"/>
  <c r="W80" i="2"/>
  <c r="BR80" i="2" s="1"/>
  <c r="BS80" i="2" s="1"/>
  <c r="BV80" i="2" s="1"/>
  <c r="Z82" i="2"/>
  <c r="X83" i="2"/>
  <c r="X85" i="2"/>
  <c r="BN87" i="2"/>
  <c r="BP87" i="2" s="1"/>
  <c r="X89" i="2"/>
  <c r="X91" i="2"/>
  <c r="X93" i="2"/>
  <c r="U95" i="2"/>
  <c r="BQ95" i="2" s="1"/>
  <c r="BS95" i="2" s="1"/>
  <c r="BV95" i="2" s="1"/>
  <c r="W97" i="2"/>
  <c r="BR97" i="2" s="1"/>
  <c r="U99" i="2"/>
  <c r="BQ99" i="2" s="1"/>
  <c r="BS99" i="2" s="1"/>
  <c r="BV99" i="2" s="1"/>
  <c r="BN99" i="2"/>
  <c r="BP99" i="2" s="1"/>
  <c r="X100" i="2"/>
  <c r="U102" i="2"/>
  <c r="BQ102" i="2" s="1"/>
  <c r="BS102" i="2" s="1"/>
  <c r="BV102" i="2" s="1"/>
  <c r="BN102" i="2"/>
  <c r="BP102" i="2" s="1"/>
  <c r="W105" i="2"/>
  <c r="BN106" i="2"/>
  <c r="L743" i="2"/>
  <c r="W111" i="2"/>
  <c r="BR111" i="2" s="1"/>
  <c r="BO111" i="2"/>
  <c r="BO108" i="2" s="1"/>
  <c r="U112" i="2"/>
  <c r="BQ112" i="2" s="1"/>
  <c r="BN112" i="2"/>
  <c r="BP112" i="2" s="1"/>
  <c r="W117" i="2"/>
  <c r="BR117" i="2" s="1"/>
  <c r="BS117" i="2" s="1"/>
  <c r="BV117" i="2" s="1"/>
  <c r="BO117" i="2"/>
  <c r="F746" i="2"/>
  <c r="L746" i="2"/>
  <c r="R746" i="2"/>
  <c r="M181" i="3" s="1"/>
  <c r="AD746" i="2"/>
  <c r="AJ746" i="2"/>
  <c r="AP746" i="2"/>
  <c r="AV746" i="2"/>
  <c r="BB746" i="2"/>
  <c r="BH746" i="2"/>
  <c r="BN120" i="2"/>
  <c r="U121" i="2"/>
  <c r="AD747" i="2"/>
  <c r="AJ747" i="2"/>
  <c r="AP747" i="2"/>
  <c r="AV747" i="2"/>
  <c r="BB747" i="2"/>
  <c r="BH747" i="2"/>
  <c r="W126" i="2"/>
  <c r="BR126" i="2" s="1"/>
  <c r="BR122" i="2" s="1"/>
  <c r="W130" i="2"/>
  <c r="BR130" i="2" s="1"/>
  <c r="BO131" i="2"/>
  <c r="BO133" i="2"/>
  <c r="BO132" i="2" s="1"/>
  <c r="U134" i="2"/>
  <c r="BQ134" i="2" s="1"/>
  <c r="BS134" i="2" s="1"/>
  <c r="BV134" i="2" s="1"/>
  <c r="BN134" i="2"/>
  <c r="W140" i="2"/>
  <c r="BR140" i="2" s="1"/>
  <c r="BO141" i="2"/>
  <c r="U142" i="2"/>
  <c r="BQ142" i="2" s="1"/>
  <c r="BS142" i="2" s="1"/>
  <c r="BV142" i="2" s="1"/>
  <c r="BN142" i="2"/>
  <c r="BP142" i="2" s="1"/>
  <c r="W146" i="2"/>
  <c r="BR146" i="2" s="1"/>
  <c r="BO147" i="2"/>
  <c r="BP147" i="2" s="1"/>
  <c r="BO149" i="2"/>
  <c r="BO148" i="2" s="1"/>
  <c r="U154" i="2"/>
  <c r="Z157" i="2"/>
  <c r="J159" i="2"/>
  <c r="I159" i="2"/>
  <c r="BO159" i="2"/>
  <c r="BO158" i="2" s="1"/>
  <c r="BO162" i="2"/>
  <c r="J164" i="2"/>
  <c r="I164" i="2"/>
  <c r="G163" i="2"/>
  <c r="J170" i="2"/>
  <c r="U180" i="2"/>
  <c r="BQ180" i="2" s="1"/>
  <c r="BS180" i="2" s="1"/>
  <c r="BV180" i="2" s="1"/>
  <c r="V186" i="2"/>
  <c r="S185" i="2"/>
  <c r="S184" i="2" s="1"/>
  <c r="BP187" i="2"/>
  <c r="X191" i="2"/>
  <c r="U191" i="2"/>
  <c r="X196" i="2"/>
  <c r="O195" i="2"/>
  <c r="X195" i="2" s="1"/>
  <c r="U196" i="2"/>
  <c r="U195" i="2" s="1"/>
  <c r="R217" i="2"/>
  <c r="R216" i="2" s="1"/>
  <c r="BP224" i="2"/>
  <c r="Z230" i="2"/>
  <c r="BO230" i="2"/>
  <c r="BP230" i="2" s="1"/>
  <c r="BU232" i="2"/>
  <c r="BP239" i="2"/>
  <c r="BS240" i="2"/>
  <c r="BV240" i="2" s="1"/>
  <c r="J243" i="2"/>
  <c r="I243" i="2"/>
  <c r="G237" i="2"/>
  <c r="G743" i="2" s="1"/>
  <c r="BU248" i="2"/>
  <c r="BU247" i="2" s="1"/>
  <c r="BP247" i="2"/>
  <c r="BN249" i="2"/>
  <c r="BR251" i="2"/>
  <c r="X257" i="2"/>
  <c r="O255" i="2"/>
  <c r="X255" i="2" s="1"/>
  <c r="BN257" i="2"/>
  <c r="BP257" i="2" s="1"/>
  <c r="U257" i="2"/>
  <c r="BQ257" i="2" s="1"/>
  <c r="BS257" i="2" s="1"/>
  <c r="BV257" i="2" s="1"/>
  <c r="BJ280" i="2"/>
  <c r="BR291" i="2"/>
  <c r="BR313" i="2"/>
  <c r="W312" i="2"/>
  <c r="BU328" i="2"/>
  <c r="BN336" i="2"/>
  <c r="U115" i="2"/>
  <c r="BQ115" i="2" s="1"/>
  <c r="BS115" i="2" s="1"/>
  <c r="BV115" i="2" s="1"/>
  <c r="BN115" i="2"/>
  <c r="BP115" i="2" s="1"/>
  <c r="BT121" i="2"/>
  <c r="BT120" i="2" s="1"/>
  <c r="M747" i="2"/>
  <c r="AE747" i="2"/>
  <c r="AK747" i="2"/>
  <c r="AQ747" i="2"/>
  <c r="AW747" i="2"/>
  <c r="BC747" i="2"/>
  <c r="BI747" i="2"/>
  <c r="U123" i="2"/>
  <c r="BN123" i="2"/>
  <c r="W131" i="2"/>
  <c r="BR131" i="2" s="1"/>
  <c r="W133" i="2"/>
  <c r="BO134" i="2"/>
  <c r="U135" i="2"/>
  <c r="BQ135" i="2" s="1"/>
  <c r="BS135" i="2" s="1"/>
  <c r="BV135" i="2" s="1"/>
  <c r="BN135" i="2"/>
  <c r="BP135" i="2" s="1"/>
  <c r="W141" i="2"/>
  <c r="BR141" i="2" s="1"/>
  <c r="BO142" i="2"/>
  <c r="U143" i="2"/>
  <c r="BQ143" i="2" s="1"/>
  <c r="BS143" i="2" s="1"/>
  <c r="BV143" i="2" s="1"/>
  <c r="BN143" i="2"/>
  <c r="BP143" i="2" s="1"/>
  <c r="W147" i="2"/>
  <c r="BR147" i="2" s="1"/>
  <c r="W149" i="2"/>
  <c r="U157" i="2"/>
  <c r="BQ157" i="2" s="1"/>
  <c r="BS157" i="2" s="1"/>
  <c r="BV157" i="2" s="1"/>
  <c r="BQ160" i="2"/>
  <c r="AH166" i="2"/>
  <c r="AT166" i="2"/>
  <c r="BF166" i="2"/>
  <c r="U170" i="2"/>
  <c r="BQ170" i="2" s="1"/>
  <c r="BS170" i="2" s="1"/>
  <c r="BV170" i="2" s="1"/>
  <c r="I174" i="2"/>
  <c r="J183" i="2"/>
  <c r="I183" i="2"/>
  <c r="Z190" i="2"/>
  <c r="Q189" i="2"/>
  <c r="Z189" i="2" s="1"/>
  <c r="BO190" i="2"/>
  <c r="BO189" i="2" s="1"/>
  <c r="BN195" i="2"/>
  <c r="G205" i="2"/>
  <c r="J206" i="2"/>
  <c r="I206" i="2"/>
  <c r="V208" i="2"/>
  <c r="S207" i="2"/>
  <c r="Z215" i="2"/>
  <c r="BO215" i="2"/>
  <c r="BP215" i="2" s="1"/>
  <c r="BB216" i="2"/>
  <c r="BT217" i="2"/>
  <c r="BU223" i="2"/>
  <c r="BW223" i="2"/>
  <c r="U226" i="2"/>
  <c r="BQ226" i="2" s="1"/>
  <c r="BS226" i="2" s="1"/>
  <c r="BV226" i="2" s="1"/>
  <c r="U235" i="2"/>
  <c r="BQ235" i="2" s="1"/>
  <c r="BS235" i="2" s="1"/>
  <c r="BV235" i="2" s="1"/>
  <c r="BO237" i="2"/>
  <c r="Y239" i="2"/>
  <c r="X241" i="2"/>
  <c r="BN241" i="2"/>
  <c r="BP241" i="2" s="1"/>
  <c r="U241" i="2"/>
  <c r="BQ241" i="2" s="1"/>
  <c r="BS241" i="2" s="1"/>
  <c r="BV241" i="2" s="1"/>
  <c r="W119" i="2"/>
  <c r="BO119" i="2"/>
  <c r="BO118" i="2" s="1"/>
  <c r="W121" i="2"/>
  <c r="U124" i="2"/>
  <c r="BQ124" i="2" s="1"/>
  <c r="BS124" i="2" s="1"/>
  <c r="BV124" i="2" s="1"/>
  <c r="U136" i="2"/>
  <c r="BQ136" i="2" s="1"/>
  <c r="BS136" i="2" s="1"/>
  <c r="BV136" i="2" s="1"/>
  <c r="U138" i="2"/>
  <c r="BN138" i="2"/>
  <c r="U144" i="2"/>
  <c r="BQ144" i="2" s="1"/>
  <c r="BS144" i="2" s="1"/>
  <c r="BV144" i="2" s="1"/>
  <c r="W154" i="2"/>
  <c r="U159" i="2"/>
  <c r="BR164" i="2"/>
  <c r="BR163" i="2" s="1"/>
  <c r="W163" i="2"/>
  <c r="J169" i="2"/>
  <c r="G168" i="2"/>
  <c r="I169" i="2"/>
  <c r="AV167" i="2"/>
  <c r="AV166" i="2" s="1"/>
  <c r="R167" i="2"/>
  <c r="BH167" i="2"/>
  <c r="BH166" i="2" s="1"/>
  <c r="Z173" i="2"/>
  <c r="BO173" i="2"/>
  <c r="BP173" i="2" s="1"/>
  <c r="Q171" i="2"/>
  <c r="Z171" i="2" s="1"/>
  <c r="Z178" i="2"/>
  <c r="BO178" i="2"/>
  <c r="BP178" i="2" s="1"/>
  <c r="BW180" i="2"/>
  <c r="BU180" i="2"/>
  <c r="E184" i="2"/>
  <c r="X185" i="2"/>
  <c r="O184" i="2"/>
  <c r="X184" i="2" s="1"/>
  <c r="Z188" i="2"/>
  <c r="BO188" i="2"/>
  <c r="BP192" i="2"/>
  <c r="BN205" i="2"/>
  <c r="BP206" i="2"/>
  <c r="G217" i="2"/>
  <c r="J218" i="2"/>
  <c r="I218" i="2"/>
  <c r="T216" i="2"/>
  <c r="BU242" i="2"/>
  <c r="BW242" i="2"/>
  <c r="BS244" i="2"/>
  <c r="BV244" i="2" s="1"/>
  <c r="BW244" i="2" s="1"/>
  <c r="T259" i="2"/>
  <c r="T268" i="2"/>
  <c r="BO79" i="2"/>
  <c r="W82" i="2"/>
  <c r="BR82" i="2" s="1"/>
  <c r="U83" i="2"/>
  <c r="BQ83" i="2" s="1"/>
  <c r="BS83" i="2" s="1"/>
  <c r="BV83" i="2" s="1"/>
  <c r="U85" i="2"/>
  <c r="BQ85" i="2" s="1"/>
  <c r="BS85" i="2" s="1"/>
  <c r="BV85" i="2" s="1"/>
  <c r="BW85" i="2" s="1"/>
  <c r="BO88" i="2"/>
  <c r="BP88" i="2" s="1"/>
  <c r="BO90" i="2"/>
  <c r="BP90" i="2" s="1"/>
  <c r="U91" i="2"/>
  <c r="BQ91" i="2" s="1"/>
  <c r="BS91" i="2" s="1"/>
  <c r="BV91" i="2" s="1"/>
  <c r="X95" i="2"/>
  <c r="W110" i="2"/>
  <c r="BP119" i="2"/>
  <c r="I120" i="2"/>
  <c r="O120" i="2"/>
  <c r="O122" i="2"/>
  <c r="AA747" i="2"/>
  <c r="AG747" i="2"/>
  <c r="AM747" i="2"/>
  <c r="AS747" i="2"/>
  <c r="AY747" i="2"/>
  <c r="BE747" i="2"/>
  <c r="BK747" i="2"/>
  <c r="BO124" i="2"/>
  <c r="BP124" i="2" s="1"/>
  <c r="U125" i="2"/>
  <c r="BQ125" i="2" s="1"/>
  <c r="BS125" i="2" s="1"/>
  <c r="BV125" i="2" s="1"/>
  <c r="S128" i="2"/>
  <c r="U129" i="2"/>
  <c r="I131" i="2"/>
  <c r="Q132" i="2"/>
  <c r="Z132" i="2" s="1"/>
  <c r="I133" i="2"/>
  <c r="BO136" i="2"/>
  <c r="BP136" i="2" s="1"/>
  <c r="BO138" i="2"/>
  <c r="U139" i="2"/>
  <c r="BQ139" i="2" s="1"/>
  <c r="BS139" i="2" s="1"/>
  <c r="BV139" i="2" s="1"/>
  <c r="I141" i="2"/>
  <c r="BO144" i="2"/>
  <c r="BP144" i="2" s="1"/>
  <c r="U145" i="2"/>
  <c r="BQ145" i="2" s="1"/>
  <c r="BS145" i="2" s="1"/>
  <c r="BV145" i="2" s="1"/>
  <c r="I147" i="2"/>
  <c r="Q148" i="2"/>
  <c r="Z148" i="2" s="1"/>
  <c r="I149" i="2"/>
  <c r="J152" i="2"/>
  <c r="P153" i="2"/>
  <c r="BO154" i="2"/>
  <c r="BO153" i="2" s="1"/>
  <c r="I160" i="2"/>
  <c r="S160" i="2"/>
  <c r="V160" i="2"/>
  <c r="BT161" i="2"/>
  <c r="BT160" i="2" s="1"/>
  <c r="Z164" i="2"/>
  <c r="Q163" i="2"/>
  <c r="Z163" i="2" s="1"/>
  <c r="K167" i="2"/>
  <c r="Z168" i="2"/>
  <c r="AM168" i="2"/>
  <c r="AM167" i="2" s="1"/>
  <c r="AM166" i="2" s="1"/>
  <c r="S167" i="2"/>
  <c r="AD167" i="2"/>
  <c r="AD166" i="2" s="1"/>
  <c r="AJ167" i="2"/>
  <c r="AJ166" i="2" s="1"/>
  <c r="AP167" i="2"/>
  <c r="AP166" i="2" s="1"/>
  <c r="BB171" i="2"/>
  <c r="BB167" i="2" s="1"/>
  <c r="U172" i="2"/>
  <c r="O174" i="2"/>
  <c r="V176" i="2"/>
  <c r="S175" i="2"/>
  <c r="J177" i="2"/>
  <c r="G175" i="2"/>
  <c r="Y179" i="2"/>
  <c r="P175" i="2"/>
  <c r="Y175" i="2" s="1"/>
  <c r="W179" i="2"/>
  <c r="BR179" i="2" s="1"/>
  <c r="R184" i="2"/>
  <c r="Z193" i="2"/>
  <c r="BT195" i="2"/>
  <c r="BR195" i="2"/>
  <c r="Z203" i="2"/>
  <c r="BO203" i="2"/>
  <c r="BP203" i="2" s="1"/>
  <c r="BP208" i="2"/>
  <c r="BN207" i="2"/>
  <c r="BT210" i="2"/>
  <c r="BT209" i="2" s="1"/>
  <c r="V209" i="2"/>
  <c r="O209" i="2"/>
  <c r="X209" i="2" s="1"/>
  <c r="X211" i="2"/>
  <c r="U211" i="2"/>
  <c r="BQ211" i="2" s="1"/>
  <c r="BS211" i="2" s="1"/>
  <c r="BV211" i="2" s="1"/>
  <c r="V217" i="2"/>
  <c r="BP218" i="2"/>
  <c r="BP220" i="2"/>
  <c r="X221" i="2"/>
  <c r="O217" i="2"/>
  <c r="U221" i="2"/>
  <c r="BQ221" i="2" s="1"/>
  <c r="BS221" i="2" s="1"/>
  <c r="BV221" i="2" s="1"/>
  <c r="BW221" i="2" s="1"/>
  <c r="BN226" i="2"/>
  <c r="BP226" i="2" s="1"/>
  <c r="J229" i="2"/>
  <c r="I229" i="2"/>
  <c r="BN235" i="2"/>
  <c r="BP235" i="2" s="1"/>
  <c r="BQ238" i="2"/>
  <c r="X244" i="2"/>
  <c r="T246" i="2"/>
  <c r="Z260" i="2"/>
  <c r="U97" i="2"/>
  <c r="BQ97" i="2" s="1"/>
  <c r="W103" i="2"/>
  <c r="BR103" i="2" s="1"/>
  <c r="N742" i="2"/>
  <c r="BJ742" i="2"/>
  <c r="W116" i="2"/>
  <c r="BR116" i="2" s="1"/>
  <c r="M180" i="3"/>
  <c r="N180" i="3" s="1"/>
  <c r="X118" i="2"/>
  <c r="J120" i="2"/>
  <c r="P120" i="2"/>
  <c r="AB746" i="2"/>
  <c r="AH746" i="2"/>
  <c r="AN746" i="2"/>
  <c r="AT746" i="2"/>
  <c r="AZ746" i="2"/>
  <c r="BF746" i="2"/>
  <c r="BL746" i="2"/>
  <c r="AB747" i="2"/>
  <c r="AH747" i="2"/>
  <c r="AN747" i="2"/>
  <c r="AT747" i="2"/>
  <c r="AZ747" i="2"/>
  <c r="BF747" i="2"/>
  <c r="BL747" i="2"/>
  <c r="U126" i="2"/>
  <c r="BQ126" i="2" s="1"/>
  <c r="U130" i="2"/>
  <c r="BQ130" i="2" s="1"/>
  <c r="BS130" i="2" s="1"/>
  <c r="BV130" i="2" s="1"/>
  <c r="BW130" i="2" s="1"/>
  <c r="U140" i="2"/>
  <c r="BQ140" i="2" s="1"/>
  <c r="BS140" i="2" s="1"/>
  <c r="BV140" i="2" s="1"/>
  <c r="U146" i="2"/>
  <c r="BQ146" i="2" s="1"/>
  <c r="BS146" i="2" s="1"/>
  <c r="BV146" i="2" s="1"/>
  <c r="O155" i="2"/>
  <c r="X155" i="2" s="1"/>
  <c r="O158" i="2"/>
  <c r="X158" i="2" s="1"/>
  <c r="W159" i="2"/>
  <c r="P160" i="2"/>
  <c r="Y160" i="2" s="1"/>
  <c r="Y161" i="2"/>
  <c r="P163" i="2"/>
  <c r="Y163" i="2" s="1"/>
  <c r="AB166" i="2"/>
  <c r="AN166" i="2"/>
  <c r="AZ166" i="2"/>
  <c r="E168" i="2"/>
  <c r="E167" i="2" s="1"/>
  <c r="E166" i="2" s="1"/>
  <c r="BA166" i="2"/>
  <c r="BA3" i="2" s="1"/>
  <c r="BA734" i="2" s="1"/>
  <c r="BG166" i="2"/>
  <c r="BM166" i="2"/>
  <c r="BN170" i="2"/>
  <c r="BP170" i="2" s="1"/>
  <c r="Q175" i="2"/>
  <c r="Z175" i="2" s="1"/>
  <c r="T175" i="2"/>
  <c r="T167" i="2" s="1"/>
  <c r="Q185" i="2"/>
  <c r="J189" i="2"/>
  <c r="BU194" i="2"/>
  <c r="Z199" i="2"/>
  <c r="BO199" i="2"/>
  <c r="BP199" i="2" s="1"/>
  <c r="BQ210" i="2"/>
  <c r="J214" i="2"/>
  <c r="G209" i="2"/>
  <c r="I214" i="2"/>
  <c r="BU225" i="2"/>
  <c r="BP229" i="2"/>
  <c r="W230" i="2"/>
  <c r="BR230" i="2" s="1"/>
  <c r="BP231" i="2"/>
  <c r="U232" i="2"/>
  <c r="BQ232" i="2" s="1"/>
  <c r="BS232" i="2" s="1"/>
  <c r="BV232" i="2" s="1"/>
  <c r="BW232" i="2" s="1"/>
  <c r="BT238" i="2"/>
  <c r="T237" i="2"/>
  <c r="T743" i="2" s="1"/>
  <c r="M178" i="3" s="1"/>
  <c r="BU244" i="2"/>
  <c r="F246" i="2"/>
  <c r="F166" i="2" s="1"/>
  <c r="BN247" i="2"/>
  <c r="G249" i="2"/>
  <c r="J250" i="2"/>
  <c r="I250" i="2"/>
  <c r="V263" i="2"/>
  <c r="BT264" i="2"/>
  <c r="BT263" i="2" s="1"/>
  <c r="BN162" i="2"/>
  <c r="BP162" i="2" s="1"/>
  <c r="Z169" i="2"/>
  <c r="E171" i="2"/>
  <c r="E741" i="2" s="1"/>
  <c r="Y172" i="2"/>
  <c r="X176" i="2"/>
  <c r="W177" i="2"/>
  <c r="BR177" i="2" s="1"/>
  <c r="BR175" i="2" s="1"/>
  <c r="U179" i="2"/>
  <c r="BQ179" i="2" s="1"/>
  <c r="BS179" i="2" s="1"/>
  <c r="BV179" i="2" s="1"/>
  <c r="Z180" i="2"/>
  <c r="X182" i="2"/>
  <c r="W183" i="2"/>
  <c r="BR183" i="2" s="1"/>
  <c r="X186" i="2"/>
  <c r="W187" i="2"/>
  <c r="V190" i="2"/>
  <c r="X192" i="2"/>
  <c r="J193" i="2"/>
  <c r="U194" i="2"/>
  <c r="BQ194" i="2" s="1"/>
  <c r="G195" i="2"/>
  <c r="Z196" i="2"/>
  <c r="T739" i="2"/>
  <c r="W206" i="2"/>
  <c r="O207" i="2"/>
  <c r="X208" i="2"/>
  <c r="P209" i="2"/>
  <c r="Y209" i="2" s="1"/>
  <c r="Z211" i="2"/>
  <c r="X213" i="2"/>
  <c r="W214" i="2"/>
  <c r="BR214" i="2" s="1"/>
  <c r="BR209" i="2" s="1"/>
  <c r="W218" i="2"/>
  <c r="U220" i="2"/>
  <c r="BQ220" i="2" s="1"/>
  <c r="Z221" i="2"/>
  <c r="X223" i="2"/>
  <c r="W224" i="2"/>
  <c r="BR224" i="2" s="1"/>
  <c r="U225" i="2"/>
  <c r="BQ225" i="2" s="1"/>
  <c r="Z226" i="2"/>
  <c r="X228" i="2"/>
  <c r="W229" i="2"/>
  <c r="BR229" i="2" s="1"/>
  <c r="U231" i="2"/>
  <c r="BQ231" i="2" s="1"/>
  <c r="Z232" i="2"/>
  <c r="X233" i="2"/>
  <c r="U234" i="2"/>
  <c r="BQ234" i="2" s="1"/>
  <c r="BS234" i="2" s="1"/>
  <c r="BV234" i="2" s="1"/>
  <c r="BW234" i="2" s="1"/>
  <c r="J235" i="2"/>
  <c r="Z235" i="2"/>
  <c r="K237" i="2"/>
  <c r="K216" i="2" s="1"/>
  <c r="Q237" i="2"/>
  <c r="Z237" i="2" s="1"/>
  <c r="W238" i="2"/>
  <c r="U239" i="2"/>
  <c r="BQ239" i="2" s="1"/>
  <c r="BS239" i="2" s="1"/>
  <c r="BV239" i="2" s="1"/>
  <c r="S240" i="2"/>
  <c r="BO240" i="2"/>
  <c r="BP240" i="2" s="1"/>
  <c r="Z241" i="2"/>
  <c r="X242" i="2"/>
  <c r="BN243" i="2"/>
  <c r="BP243" i="2" s="1"/>
  <c r="X245" i="2"/>
  <c r="P246" i="2"/>
  <c r="Y246" i="2" s="1"/>
  <c r="W247" i="2"/>
  <c r="Z248" i="2"/>
  <c r="Z252" i="2"/>
  <c r="BO252" i="2"/>
  <c r="BP252" i="2" s="1"/>
  <c r="V266" i="2"/>
  <c r="BT267" i="2"/>
  <c r="BT266" i="2" s="1"/>
  <c r="H280" i="2"/>
  <c r="BR288" i="2"/>
  <c r="BR287" i="2" s="1"/>
  <c r="W287" i="2"/>
  <c r="BP302" i="2"/>
  <c r="BU306" i="2"/>
  <c r="BT311" i="2"/>
  <c r="BT310" i="2" s="1"/>
  <c r="V310" i="2"/>
  <c r="X315" i="2"/>
  <c r="AO338" i="2"/>
  <c r="AO280" i="2" s="1"/>
  <c r="I352" i="2"/>
  <c r="U181" i="2"/>
  <c r="BQ181" i="2" s="1"/>
  <c r="BS181" i="2" s="1"/>
  <c r="BV181" i="2" s="1"/>
  <c r="BN181" i="2"/>
  <c r="BP181" i="2" s="1"/>
  <c r="V191" i="2"/>
  <c r="W194" i="2"/>
  <c r="BR194" i="2" s="1"/>
  <c r="V196" i="2"/>
  <c r="U197" i="2"/>
  <c r="BQ197" i="2" s="1"/>
  <c r="BN197" i="2"/>
  <c r="BP197" i="2" s="1"/>
  <c r="V200" i="2"/>
  <c r="U201" i="2"/>
  <c r="BQ201" i="2" s="1"/>
  <c r="BN201" i="2"/>
  <c r="BP201" i="2" s="1"/>
  <c r="U212" i="2"/>
  <c r="BQ212" i="2" s="1"/>
  <c r="BS212" i="2" s="1"/>
  <c r="BV212" i="2" s="1"/>
  <c r="BN212" i="2"/>
  <c r="BP212" i="2" s="1"/>
  <c r="W220" i="2"/>
  <c r="BR220" i="2" s="1"/>
  <c r="U222" i="2"/>
  <c r="BQ222" i="2" s="1"/>
  <c r="BS222" i="2" s="1"/>
  <c r="BV222" i="2" s="1"/>
  <c r="BN222" i="2"/>
  <c r="BP222" i="2" s="1"/>
  <c r="W225" i="2"/>
  <c r="BR225" i="2" s="1"/>
  <c r="U227" i="2"/>
  <c r="BQ227" i="2" s="1"/>
  <c r="BS227" i="2" s="1"/>
  <c r="BV227" i="2" s="1"/>
  <c r="BN227" i="2"/>
  <c r="BP227" i="2" s="1"/>
  <c r="W231" i="2"/>
  <c r="BR231" i="2" s="1"/>
  <c r="W234" i="2"/>
  <c r="BR234" i="2" s="1"/>
  <c r="U236" i="2"/>
  <c r="BQ236" i="2" s="1"/>
  <c r="BS236" i="2" s="1"/>
  <c r="BV236" i="2" s="1"/>
  <c r="BN236" i="2"/>
  <c r="BP236" i="2" s="1"/>
  <c r="W239" i="2"/>
  <c r="BR239" i="2" s="1"/>
  <c r="U248" i="2"/>
  <c r="V250" i="2"/>
  <c r="S249" i="2"/>
  <c r="S246" i="2" s="1"/>
  <c r="F253" i="2"/>
  <c r="F741" i="2" s="1"/>
  <c r="G254" i="2"/>
  <c r="V255" i="2"/>
  <c r="BT256" i="2"/>
  <c r="BT255" i="2" s="1"/>
  <c r="AE259" i="2"/>
  <c r="AE166" i="2" s="1"/>
  <c r="AK259" i="2"/>
  <c r="AK166" i="2" s="1"/>
  <c r="AQ259" i="2"/>
  <c r="AQ166" i="2" s="1"/>
  <c r="AW259" i="2"/>
  <c r="AW166" i="2" s="1"/>
  <c r="BC259" i="2"/>
  <c r="BC166" i="2" s="1"/>
  <c r="BI259" i="2"/>
  <c r="BI166" i="2" s="1"/>
  <c r="BP261" i="2"/>
  <c r="T263" i="2"/>
  <c r="AF268" i="2"/>
  <c r="AF259" i="2" s="1"/>
  <c r="AF166" i="2" s="1"/>
  <c r="AL268" i="2"/>
  <c r="AL259" i="2" s="1"/>
  <c r="AL166" i="2" s="1"/>
  <c r="AR268" i="2"/>
  <c r="AX268" i="2"/>
  <c r="AX259" i="2" s="1"/>
  <c r="AX166" i="2" s="1"/>
  <c r="BD268" i="2"/>
  <c r="BD259" i="2" s="1"/>
  <c r="BD166" i="2" s="1"/>
  <c r="BJ268" i="2"/>
  <c r="X275" i="2"/>
  <c r="O273" i="2"/>
  <c r="X273" i="2" s="1"/>
  <c r="U275" i="2"/>
  <c r="BQ275" i="2" s="1"/>
  <c r="BS275" i="2" s="1"/>
  <c r="BV275" i="2" s="1"/>
  <c r="BE281" i="2"/>
  <c r="BK280" i="2"/>
  <c r="X283" i="2"/>
  <c r="BN283" i="2"/>
  <c r="O282" i="2"/>
  <c r="J283" i="2"/>
  <c r="BN289" i="2"/>
  <c r="BP289" i="2" s="1"/>
  <c r="X289" i="2"/>
  <c r="J290" i="2"/>
  <c r="BT290" i="2"/>
  <c r="BP294" i="2"/>
  <c r="BP311" i="2"/>
  <c r="BN310" i="2"/>
  <c r="I312" i="2"/>
  <c r="J312" i="2"/>
  <c r="W334" i="2"/>
  <c r="BR335" i="2"/>
  <c r="BR334" i="2" s="1"/>
  <c r="AV737" i="2"/>
  <c r="AV330" i="2"/>
  <c r="AV280" i="2" s="1"/>
  <c r="L339" i="2"/>
  <c r="BU379" i="2"/>
  <c r="U176" i="2"/>
  <c r="BN176" i="2"/>
  <c r="U182" i="2"/>
  <c r="BQ182" i="2" s="1"/>
  <c r="BS182" i="2" s="1"/>
  <c r="BV182" i="2" s="1"/>
  <c r="U186" i="2"/>
  <c r="BN186" i="2"/>
  <c r="I188" i="2"/>
  <c r="I190" i="2"/>
  <c r="E737" i="2"/>
  <c r="K737" i="2"/>
  <c r="W191" i="2"/>
  <c r="U192" i="2"/>
  <c r="BQ192" i="2" s="1"/>
  <c r="P195" i="2"/>
  <c r="Y195" i="2" s="1"/>
  <c r="W196" i="2"/>
  <c r="I199" i="2"/>
  <c r="E739" i="2"/>
  <c r="K739" i="2"/>
  <c r="W200" i="2"/>
  <c r="I203" i="2"/>
  <c r="Q204" i="2"/>
  <c r="Z204" i="2" s="1"/>
  <c r="U208" i="2"/>
  <c r="S209" i="2"/>
  <c r="U213" i="2"/>
  <c r="BQ213" i="2" s="1"/>
  <c r="BS213" i="2" s="1"/>
  <c r="BV213" i="2" s="1"/>
  <c r="I215" i="2"/>
  <c r="I219" i="2"/>
  <c r="U223" i="2"/>
  <c r="BQ223" i="2" s="1"/>
  <c r="BS223" i="2" s="1"/>
  <c r="BV223" i="2" s="1"/>
  <c r="I225" i="2"/>
  <c r="U228" i="2"/>
  <c r="BQ228" i="2" s="1"/>
  <c r="BS228" i="2" s="1"/>
  <c r="BV228" i="2" s="1"/>
  <c r="BW228" i="2" s="1"/>
  <c r="I230" i="2"/>
  <c r="I234" i="2"/>
  <c r="P240" i="2"/>
  <c r="Y240" i="2" s="1"/>
  <c r="W241" i="2"/>
  <c r="BR241" i="2" s="1"/>
  <c r="U242" i="2"/>
  <c r="BQ242" i="2" s="1"/>
  <c r="BS242" i="2" s="1"/>
  <c r="BV242" i="2" s="1"/>
  <c r="U245" i="2"/>
  <c r="BQ245" i="2" s="1"/>
  <c r="BS245" i="2" s="1"/>
  <c r="BV245" i="2" s="1"/>
  <c r="BW245" i="2" s="1"/>
  <c r="BO251" i="2"/>
  <c r="BP251" i="2" s="1"/>
  <c r="Z251" i="2"/>
  <c r="J252" i="2"/>
  <c r="I252" i="2"/>
  <c r="Y256" i="2"/>
  <c r="P255" i="2"/>
  <c r="Y255" i="2" s="1"/>
  <c r="BO255" i="2"/>
  <c r="AR259" i="2"/>
  <c r="AR166" i="2" s="1"/>
  <c r="BJ259" i="2"/>
  <c r="BJ166" i="2" s="1"/>
  <c r="V273" i="2"/>
  <c r="BT274" i="2"/>
  <c r="BT273" i="2" s="1"/>
  <c r="R281" i="2"/>
  <c r="BT313" i="2"/>
  <c r="BT312" i="2" s="1"/>
  <c r="V312" i="2"/>
  <c r="BU320" i="2"/>
  <c r="J334" i="2"/>
  <c r="W172" i="2"/>
  <c r="BT172" i="2"/>
  <c r="BT171" i="2" s="1"/>
  <c r="W174" i="2"/>
  <c r="BR174" i="2" s="1"/>
  <c r="BO176" i="2"/>
  <c r="U177" i="2"/>
  <c r="BQ177" i="2" s="1"/>
  <c r="BS177" i="2" s="1"/>
  <c r="BV177" i="2" s="1"/>
  <c r="BW177" i="2" s="1"/>
  <c r="I179" i="2"/>
  <c r="BO182" i="2"/>
  <c r="BP182" i="2" s="1"/>
  <c r="U183" i="2"/>
  <c r="BQ183" i="2" s="1"/>
  <c r="BO186" i="2"/>
  <c r="BO185" i="2" s="1"/>
  <c r="U187" i="2"/>
  <c r="BQ187" i="2" s="1"/>
  <c r="J190" i="2"/>
  <c r="L737" i="2"/>
  <c r="BO192" i="2"/>
  <c r="I194" i="2"/>
  <c r="I198" i="2"/>
  <c r="F739" i="2"/>
  <c r="L739" i="2"/>
  <c r="R739" i="2"/>
  <c r="I202" i="2"/>
  <c r="S205" i="2"/>
  <c r="S204" i="2" s="1"/>
  <c r="U206" i="2"/>
  <c r="AE739" i="2"/>
  <c r="AK739" i="2"/>
  <c r="AQ739" i="2"/>
  <c r="AQ735" i="2" s="1"/>
  <c r="AW739" i="2"/>
  <c r="AW735" i="2" s="1"/>
  <c r="BC739" i="2"/>
  <c r="BC735" i="2" s="1"/>
  <c r="BI739" i="2"/>
  <c r="BI735" i="2" s="1"/>
  <c r="BO208" i="2"/>
  <c r="BO207" i="2" s="1"/>
  <c r="BO204" i="2" s="1"/>
  <c r="BO213" i="2"/>
  <c r="BO209" i="2" s="1"/>
  <c r="U214" i="2"/>
  <c r="BQ214" i="2" s="1"/>
  <c r="BS214" i="2" s="1"/>
  <c r="BV214" i="2" s="1"/>
  <c r="BW214" i="2" s="1"/>
  <c r="S217" i="2"/>
  <c r="U218" i="2"/>
  <c r="I220" i="2"/>
  <c r="U224" i="2"/>
  <c r="BQ224" i="2" s="1"/>
  <c r="U229" i="2"/>
  <c r="BQ229" i="2" s="1"/>
  <c r="BS229" i="2" s="1"/>
  <c r="BV229" i="2" s="1"/>
  <c r="I231" i="2"/>
  <c r="O237" i="2"/>
  <c r="I239" i="2"/>
  <c r="I241" i="2"/>
  <c r="I247" i="2"/>
  <c r="O247" i="2"/>
  <c r="BR254" i="2"/>
  <c r="BR253" i="2" s="1"/>
  <c r="W253" i="2"/>
  <c r="BR267" i="2"/>
  <c r="BR266" i="2" s="1"/>
  <c r="W266" i="2"/>
  <c r="N268" i="2"/>
  <c r="N259" i="2" s="1"/>
  <c r="N166" i="2" s="1"/>
  <c r="V269" i="2"/>
  <c r="BT270" i="2"/>
  <c r="BT269" i="2" s="1"/>
  <c r="V271" i="2"/>
  <c r="BT272" i="2"/>
  <c r="BT271" i="2" s="1"/>
  <c r="Y274" i="2"/>
  <c r="P273" i="2"/>
  <c r="Y273" i="2" s="1"/>
  <c r="V287" i="2"/>
  <c r="BP298" i="2"/>
  <c r="BS307" i="2"/>
  <c r="BV307" i="2" s="1"/>
  <c r="BA280" i="2"/>
  <c r="BR311" i="2"/>
  <c r="BR310" i="2" s="1"/>
  <c r="W310" i="2"/>
  <c r="J315" i="2"/>
  <c r="I315" i="2"/>
  <c r="V334" i="2"/>
  <c r="V330" i="2" s="1"/>
  <c r="BT335" i="2"/>
  <c r="BT334" i="2" s="1"/>
  <c r="S339" i="2"/>
  <c r="E339" i="2"/>
  <c r="E338" i="2" s="1"/>
  <c r="E280" i="2" s="1"/>
  <c r="BT347" i="2"/>
  <c r="U173" i="2"/>
  <c r="BQ173" i="2" s="1"/>
  <c r="BS173" i="2" s="1"/>
  <c r="BV173" i="2" s="1"/>
  <c r="U178" i="2"/>
  <c r="BQ178" i="2" s="1"/>
  <c r="BS178" i="2" s="1"/>
  <c r="BV178" i="2" s="1"/>
  <c r="U188" i="2"/>
  <c r="BQ188" i="2" s="1"/>
  <c r="BS188" i="2" s="1"/>
  <c r="BV188" i="2" s="1"/>
  <c r="U190" i="2"/>
  <c r="M737" i="2"/>
  <c r="Y191" i="2"/>
  <c r="I193" i="2"/>
  <c r="U199" i="2"/>
  <c r="BQ199" i="2" s="1"/>
  <c r="Y200" i="2"/>
  <c r="U203" i="2"/>
  <c r="BQ203" i="2" s="1"/>
  <c r="U215" i="2"/>
  <c r="BQ215" i="2" s="1"/>
  <c r="BS215" i="2" s="1"/>
  <c r="BV215" i="2" s="1"/>
  <c r="U219" i="2"/>
  <c r="BQ219" i="2" s="1"/>
  <c r="BS219" i="2" s="1"/>
  <c r="BV219" i="2" s="1"/>
  <c r="U230" i="2"/>
  <c r="BQ230" i="2" s="1"/>
  <c r="BS230" i="2" s="1"/>
  <c r="BV230" i="2" s="1"/>
  <c r="W233" i="2"/>
  <c r="BR233" i="2" s="1"/>
  <c r="BS233" i="2" s="1"/>
  <c r="BV233" i="2" s="1"/>
  <c r="BW233" i="2" s="1"/>
  <c r="X240" i="2"/>
  <c r="W252" i="2"/>
  <c r="BR252" i="2" s="1"/>
  <c r="BR249" i="2" s="1"/>
  <c r="Z254" i="2"/>
  <c r="Q253" i="2"/>
  <c r="BO254" i="2"/>
  <c r="BO253" i="2" s="1"/>
  <c r="M259" i="2"/>
  <c r="M166" i="2" s="1"/>
  <c r="X261" i="2"/>
  <c r="O260" i="2"/>
  <c r="U261" i="2"/>
  <c r="BR264" i="2"/>
  <c r="BR263" i="2" s="1"/>
  <c r="W263" i="2"/>
  <c r="J269" i="2"/>
  <c r="I269" i="2"/>
  <c r="G268" i="2"/>
  <c r="Y270" i="2"/>
  <c r="P269" i="2"/>
  <c r="P739" i="2" s="1"/>
  <c r="Y739" i="2" s="1"/>
  <c r="Y272" i="2"/>
  <c r="P271" i="2"/>
  <c r="Y271" i="2" s="1"/>
  <c r="BN275" i="2"/>
  <c r="BP275" i="2" s="1"/>
  <c r="T281" i="2"/>
  <c r="BT283" i="2"/>
  <c r="BT282" i="2" s="1"/>
  <c r="V282" i="2"/>
  <c r="V290" i="2"/>
  <c r="BP293" i="2"/>
  <c r="I310" i="2"/>
  <c r="J310" i="2"/>
  <c r="BP313" i="2"/>
  <c r="BN312" i="2"/>
  <c r="BQ316" i="2"/>
  <c r="BP319" i="2"/>
  <c r="T339" i="2"/>
  <c r="AT338" i="2"/>
  <c r="BF338" i="2"/>
  <c r="BF280" i="2" s="1"/>
  <c r="U254" i="2"/>
  <c r="BN254" i="2"/>
  <c r="U256" i="2"/>
  <c r="BN256" i="2"/>
  <c r="U270" i="2"/>
  <c r="BN270" i="2"/>
  <c r="U272" i="2"/>
  <c r="BN272" i="2"/>
  <c r="U274" i="2"/>
  <c r="BN274" i="2"/>
  <c r="G282" i="2"/>
  <c r="BO284" i="2"/>
  <c r="BO282" i="2" s="1"/>
  <c r="BN285" i="2"/>
  <c r="BP285" i="2" s="1"/>
  <c r="J286" i="2"/>
  <c r="J291" i="2"/>
  <c r="W293" i="2"/>
  <c r="BR293" i="2" s="1"/>
  <c r="BO294" i="2"/>
  <c r="U295" i="2"/>
  <c r="BQ295" i="2" s="1"/>
  <c r="BS295" i="2" s="1"/>
  <c r="BV295" i="2" s="1"/>
  <c r="BN295" i="2"/>
  <c r="BP295" i="2" s="1"/>
  <c r="W298" i="2"/>
  <c r="BR298" i="2" s="1"/>
  <c r="U299" i="2"/>
  <c r="BQ299" i="2" s="1"/>
  <c r="BS299" i="2" s="1"/>
  <c r="BV299" i="2" s="1"/>
  <c r="BN299" i="2"/>
  <c r="BP299" i="2" s="1"/>
  <c r="J300" i="2"/>
  <c r="W302" i="2"/>
  <c r="BR302" i="2" s="1"/>
  <c r="BO314" i="2"/>
  <c r="BP314" i="2" s="1"/>
  <c r="W320" i="2"/>
  <c r="BR320" i="2" s="1"/>
  <c r="BO321" i="2"/>
  <c r="BP321" i="2" s="1"/>
  <c r="BN322" i="2"/>
  <c r="BP322" i="2" s="1"/>
  <c r="U324" i="2"/>
  <c r="BN324" i="2"/>
  <c r="BT324" i="2"/>
  <c r="BT323" i="2" s="1"/>
  <c r="U326" i="2"/>
  <c r="BN326" i="2"/>
  <c r="BT326" i="2"/>
  <c r="BT325" i="2" s="1"/>
  <c r="U332" i="2"/>
  <c r="BN332" i="2"/>
  <c r="BT332" i="2"/>
  <c r="BT331" i="2" s="1"/>
  <c r="J333" i="2"/>
  <c r="J335" i="2"/>
  <c r="BN335" i="2"/>
  <c r="U337" i="2"/>
  <c r="BO337" i="2"/>
  <c r="BO336" i="2" s="1"/>
  <c r="BO330" i="2" s="1"/>
  <c r="U341" i="2"/>
  <c r="BN342" i="2"/>
  <c r="BP342" i="2" s="1"/>
  <c r="BP349" i="2"/>
  <c r="U355" i="2"/>
  <c r="BQ355" i="2" s="1"/>
  <c r="BS355" i="2" s="1"/>
  <c r="BV355" i="2" s="1"/>
  <c r="C7" i="3"/>
  <c r="I6" i="3"/>
  <c r="V359" i="2"/>
  <c r="BT360" i="2"/>
  <c r="BT359" i="2" s="1"/>
  <c r="J362" i="2"/>
  <c r="I362" i="2"/>
  <c r="X363" i="2"/>
  <c r="BN363" i="2"/>
  <c r="BP363" i="2" s="1"/>
  <c r="U365" i="2"/>
  <c r="BQ365" i="2" s="1"/>
  <c r="BS365" i="2" s="1"/>
  <c r="BV365" i="2" s="1"/>
  <c r="BS378" i="2"/>
  <c r="BV378" i="2" s="1"/>
  <c r="X381" i="2"/>
  <c r="BN381" i="2"/>
  <c r="BP381" i="2" s="1"/>
  <c r="U381" i="2"/>
  <c r="BQ381" i="2" s="1"/>
  <c r="BW384" i="2"/>
  <c r="BU384" i="2"/>
  <c r="BP385" i="2"/>
  <c r="BP386" i="2"/>
  <c r="BO406" i="2"/>
  <c r="BP406" i="2" s="1"/>
  <c r="Z406" i="2"/>
  <c r="BP448" i="2"/>
  <c r="W284" i="2"/>
  <c r="BR284" i="2" s="1"/>
  <c r="U285" i="2"/>
  <c r="BQ285" i="2" s="1"/>
  <c r="BS285" i="2" s="1"/>
  <c r="BV285" i="2" s="1"/>
  <c r="U286" i="2"/>
  <c r="BQ286" i="2" s="1"/>
  <c r="BS286" i="2" s="1"/>
  <c r="BV286" i="2" s="1"/>
  <c r="BN286" i="2"/>
  <c r="BP286" i="2" s="1"/>
  <c r="U288" i="2"/>
  <c r="BN288" i="2"/>
  <c r="U291" i="2"/>
  <c r="BN291" i="2"/>
  <c r="W294" i="2"/>
  <c r="BR294" i="2" s="1"/>
  <c r="U296" i="2"/>
  <c r="BQ296" i="2" s="1"/>
  <c r="BS296" i="2" s="1"/>
  <c r="BV296" i="2" s="1"/>
  <c r="BN296" i="2"/>
  <c r="BP296" i="2" s="1"/>
  <c r="U300" i="2"/>
  <c r="BQ300" i="2" s="1"/>
  <c r="BS300" i="2" s="1"/>
  <c r="BV300" i="2" s="1"/>
  <c r="BN300" i="2"/>
  <c r="BP300" i="2" s="1"/>
  <c r="W303" i="2"/>
  <c r="BR303" i="2" s="1"/>
  <c r="BS303" i="2" s="1"/>
  <c r="BV303" i="2" s="1"/>
  <c r="BO303" i="2"/>
  <c r="BP303" i="2" s="1"/>
  <c r="U304" i="2"/>
  <c r="BQ304" i="2" s="1"/>
  <c r="BS304" i="2" s="1"/>
  <c r="BV304" i="2" s="1"/>
  <c r="BN304" i="2"/>
  <c r="BP304" i="2" s="1"/>
  <c r="W307" i="2"/>
  <c r="BR307" i="2" s="1"/>
  <c r="BO307" i="2"/>
  <c r="BP307" i="2" s="1"/>
  <c r="U308" i="2"/>
  <c r="BQ308" i="2" s="1"/>
  <c r="BS308" i="2" s="1"/>
  <c r="BV308" i="2" s="1"/>
  <c r="W314" i="2"/>
  <c r="BR314" i="2" s="1"/>
  <c r="W316" i="2"/>
  <c r="BO316" i="2"/>
  <c r="U317" i="2"/>
  <c r="BQ317" i="2" s="1"/>
  <c r="BS317" i="2" s="1"/>
  <c r="BV317" i="2" s="1"/>
  <c r="BN317" i="2"/>
  <c r="BP317" i="2" s="1"/>
  <c r="W321" i="2"/>
  <c r="BR321" i="2" s="1"/>
  <c r="U322" i="2"/>
  <c r="BQ322" i="2" s="1"/>
  <c r="BS322" i="2" s="1"/>
  <c r="BV322" i="2" s="1"/>
  <c r="U333" i="2"/>
  <c r="BQ333" i="2" s="1"/>
  <c r="BS333" i="2" s="1"/>
  <c r="BV333" i="2" s="1"/>
  <c r="BN333" i="2"/>
  <c r="BP333" i="2" s="1"/>
  <c r="Y341" i="2"/>
  <c r="P340" i="2"/>
  <c r="V340" i="2"/>
  <c r="BO346" i="2"/>
  <c r="Z346" i="2"/>
  <c r="J350" i="2"/>
  <c r="I350" i="2"/>
  <c r="I353" i="2"/>
  <c r="X354" i="2"/>
  <c r="O353" i="2"/>
  <c r="U354" i="2"/>
  <c r="AO359" i="2"/>
  <c r="AO358" i="2" s="1"/>
  <c r="Q361" i="2"/>
  <c r="W361" i="2" s="1"/>
  <c r="BR361" i="2" s="1"/>
  <c r="BS361" i="2" s="1"/>
  <c r="BV361" i="2" s="1"/>
  <c r="J364" i="2"/>
  <c r="I364" i="2"/>
  <c r="BW366" i="2"/>
  <c r="BU366" i="2"/>
  <c r="BT375" i="2"/>
  <c r="BT374" i="2" s="1"/>
  <c r="BP376" i="2"/>
  <c r="BO377" i="2"/>
  <c r="W377" i="2"/>
  <c r="BR377" i="2" s="1"/>
  <c r="BW383" i="2"/>
  <c r="BU383" i="2"/>
  <c r="BU390" i="2"/>
  <c r="W256" i="2"/>
  <c r="U258" i="2"/>
  <c r="BQ258" i="2" s="1"/>
  <c r="BS258" i="2" s="1"/>
  <c r="BV258" i="2" s="1"/>
  <c r="BN258" i="2"/>
  <c r="BP258" i="2" s="1"/>
  <c r="U262" i="2"/>
  <c r="BQ262" i="2" s="1"/>
  <c r="BS262" i="2" s="1"/>
  <c r="BV262" i="2" s="1"/>
  <c r="BN262" i="2"/>
  <c r="BP262" i="2" s="1"/>
  <c r="U264" i="2"/>
  <c r="BN264" i="2"/>
  <c r="U265" i="2"/>
  <c r="BQ265" i="2" s="1"/>
  <c r="BS265" i="2" s="1"/>
  <c r="BV265" i="2" s="1"/>
  <c r="BN265" i="2"/>
  <c r="U267" i="2"/>
  <c r="BN267" i="2"/>
  <c r="W270" i="2"/>
  <c r="W272" i="2"/>
  <c r="W274" i="2"/>
  <c r="U276" i="2"/>
  <c r="BQ276" i="2" s="1"/>
  <c r="BS276" i="2" s="1"/>
  <c r="BV276" i="2" s="1"/>
  <c r="BN276" i="2"/>
  <c r="BP276" i="2" s="1"/>
  <c r="U277" i="2"/>
  <c r="BQ277" i="2" s="1"/>
  <c r="BS277" i="2" s="1"/>
  <c r="BV277" i="2" s="1"/>
  <c r="BN277" i="2"/>
  <c r="U278" i="2"/>
  <c r="BQ278" i="2" s="1"/>
  <c r="BS278" i="2" s="1"/>
  <c r="BV278" i="2" s="1"/>
  <c r="BN278" i="2"/>
  <c r="AY282" i="2"/>
  <c r="AY281" i="2" s="1"/>
  <c r="U283" i="2"/>
  <c r="I293" i="2"/>
  <c r="W295" i="2"/>
  <c r="BR295" i="2" s="1"/>
  <c r="U297" i="2"/>
  <c r="BQ297" i="2" s="1"/>
  <c r="BS297" i="2" s="1"/>
  <c r="BV297" i="2" s="1"/>
  <c r="I298" i="2"/>
  <c r="W299" i="2"/>
  <c r="BR299" i="2" s="1"/>
  <c r="I302" i="2"/>
  <c r="U305" i="2"/>
  <c r="BQ305" i="2" s="1"/>
  <c r="BS305" i="2" s="1"/>
  <c r="BV305" i="2" s="1"/>
  <c r="BN305" i="2"/>
  <c r="BN308" i="2"/>
  <c r="BP308" i="2" s="1"/>
  <c r="I314" i="2"/>
  <c r="U318" i="2"/>
  <c r="BQ318" i="2" s="1"/>
  <c r="BS318" i="2" s="1"/>
  <c r="BV318" i="2" s="1"/>
  <c r="BN318" i="2"/>
  <c r="BN315" i="2" s="1"/>
  <c r="I320" i="2"/>
  <c r="W324" i="2"/>
  <c r="W326" i="2"/>
  <c r="BS328" i="2"/>
  <c r="O331" i="2"/>
  <c r="W332" i="2"/>
  <c r="BD737" i="2"/>
  <c r="U335" i="2"/>
  <c r="BR337" i="2"/>
  <c r="BR336" i="2" s="1"/>
  <c r="BJ338" i="2"/>
  <c r="W341" i="2"/>
  <c r="BT341" i="2"/>
  <c r="BT340" i="2" s="1"/>
  <c r="U342" i="2"/>
  <c r="BQ342" i="2" s="1"/>
  <c r="BS342" i="2" s="1"/>
  <c r="BV342" i="2" s="1"/>
  <c r="I344" i="2"/>
  <c r="BP348" i="2"/>
  <c r="X351" i="2"/>
  <c r="O350" i="2"/>
  <c r="X350" i="2" s="1"/>
  <c r="U351" i="2"/>
  <c r="Y354" i="2"/>
  <c r="P353" i="2"/>
  <c r="X357" i="2"/>
  <c r="O356" i="2"/>
  <c r="X356" i="2" s="1"/>
  <c r="U357" i="2"/>
  <c r="BQ360" i="2"/>
  <c r="I368" i="2"/>
  <c r="Z372" i="2"/>
  <c r="AJ371" i="2"/>
  <c r="AJ338" i="2" s="1"/>
  <c r="AJ280" i="2" s="1"/>
  <c r="BU375" i="2"/>
  <c r="BT395" i="2"/>
  <c r="BT394" i="2" s="1"/>
  <c r="V394" i="2"/>
  <c r="R425" i="2"/>
  <c r="R424" i="2" s="1"/>
  <c r="U250" i="2"/>
  <c r="BO258" i="2"/>
  <c r="W261" i="2"/>
  <c r="BO262" i="2"/>
  <c r="BO260" i="2" s="1"/>
  <c r="M94" i="3"/>
  <c r="L121" i="3" s="1"/>
  <c r="N121" i="3" s="1"/>
  <c r="BO264" i="2"/>
  <c r="BO263" i="2" s="1"/>
  <c r="BO265" i="2"/>
  <c r="BO267" i="2"/>
  <c r="BO266" i="2" s="1"/>
  <c r="O269" i="2"/>
  <c r="BO276" i="2"/>
  <c r="BO277" i="2"/>
  <c r="BO273" i="2" s="1"/>
  <c r="BO268" i="2" s="1"/>
  <c r="BO278" i="2"/>
  <c r="P282" i="2"/>
  <c r="I284" i="2"/>
  <c r="I287" i="2"/>
  <c r="O287" i="2"/>
  <c r="X287" i="2" s="1"/>
  <c r="U289" i="2"/>
  <c r="BQ289" i="2" s="1"/>
  <c r="BS289" i="2" s="1"/>
  <c r="BV289" i="2" s="1"/>
  <c r="I290" i="2"/>
  <c r="O290" i="2"/>
  <c r="X290" i="2" s="1"/>
  <c r="U292" i="2"/>
  <c r="BQ292" i="2" s="1"/>
  <c r="BS292" i="2" s="1"/>
  <c r="BV292" i="2" s="1"/>
  <c r="Z293" i="2"/>
  <c r="I294" i="2"/>
  <c r="BN297" i="2"/>
  <c r="BP297" i="2" s="1"/>
  <c r="Z298" i="2"/>
  <c r="I299" i="2"/>
  <c r="U301" i="2"/>
  <c r="BQ301" i="2" s="1"/>
  <c r="BS301" i="2" s="1"/>
  <c r="BV301" i="2" s="1"/>
  <c r="Z302" i="2"/>
  <c r="I303" i="2"/>
  <c r="BO305" i="2"/>
  <c r="I307" i="2"/>
  <c r="W308" i="2"/>
  <c r="BR308" i="2" s="1"/>
  <c r="U309" i="2"/>
  <c r="BQ309" i="2" s="1"/>
  <c r="BS309" i="2" s="1"/>
  <c r="BV309" i="2" s="1"/>
  <c r="S310" i="2"/>
  <c r="U311" i="2"/>
  <c r="S312" i="2"/>
  <c r="U313" i="2"/>
  <c r="K315" i="2"/>
  <c r="Q315" i="2"/>
  <c r="Z315" i="2" s="1"/>
  <c r="I316" i="2"/>
  <c r="V318" i="2"/>
  <c r="BO318" i="2"/>
  <c r="U319" i="2"/>
  <c r="BQ319" i="2" s="1"/>
  <c r="BS319" i="2" s="1"/>
  <c r="BV319" i="2" s="1"/>
  <c r="Z320" i="2"/>
  <c r="I321" i="2"/>
  <c r="P323" i="2"/>
  <c r="Y323" i="2" s="1"/>
  <c r="P325" i="2"/>
  <c r="Y325" i="2" s="1"/>
  <c r="BP329" i="2"/>
  <c r="I330" i="2"/>
  <c r="P331" i="2"/>
  <c r="X332" i="2"/>
  <c r="I334" i="2"/>
  <c r="O334" i="2"/>
  <c r="X334" i="2" s="1"/>
  <c r="P336" i="2"/>
  <c r="Y336" i="2" s="1"/>
  <c r="V336" i="2"/>
  <c r="I340" i="2"/>
  <c r="Z341" i="2"/>
  <c r="V342" i="2"/>
  <c r="BT342" i="2" s="1"/>
  <c r="G345" i="2"/>
  <c r="J346" i="2"/>
  <c r="V346" i="2"/>
  <c r="S345" i="2"/>
  <c r="W348" i="2"/>
  <c r="U349" i="2"/>
  <c r="BT351" i="2"/>
  <c r="BT350" i="2" s="1"/>
  <c r="BN355" i="2"/>
  <c r="BP355" i="2" s="1"/>
  <c r="X360" i="2"/>
  <c r="O359" i="2"/>
  <c r="BN360" i="2"/>
  <c r="BN365" i="2"/>
  <c r="BP365" i="2" s="1"/>
  <c r="BP368" i="2"/>
  <c r="G369" i="2"/>
  <c r="J370" i="2"/>
  <c r="V370" i="2"/>
  <c r="S369" i="2"/>
  <c r="R371" i="2"/>
  <c r="R338" i="2" s="1"/>
  <c r="N372" i="2"/>
  <c r="W373" i="2"/>
  <c r="BP402" i="2"/>
  <c r="BO402" i="2"/>
  <c r="Z402" i="2"/>
  <c r="W402" i="2"/>
  <c r="BR402" i="2" s="1"/>
  <c r="BO250" i="2"/>
  <c r="U251" i="2"/>
  <c r="BQ251" i="2" s="1"/>
  <c r="BS251" i="2" s="1"/>
  <c r="BV251" i="2" s="1"/>
  <c r="Q255" i="2"/>
  <c r="Z255" i="2" s="1"/>
  <c r="I256" i="2"/>
  <c r="P260" i="2"/>
  <c r="I263" i="2"/>
  <c r="O263" i="2"/>
  <c r="X263" i="2" s="1"/>
  <c r="I266" i="2"/>
  <c r="O266" i="2"/>
  <c r="X266" i="2" s="1"/>
  <c r="Q271" i="2"/>
  <c r="Z271" i="2" s="1"/>
  <c r="Q273" i="2"/>
  <c r="Z273" i="2" s="1"/>
  <c r="K282" i="2"/>
  <c r="K281" i="2" s="1"/>
  <c r="Q282" i="2"/>
  <c r="W283" i="2"/>
  <c r="X285" i="2"/>
  <c r="P287" i="2"/>
  <c r="Y287" i="2" s="1"/>
  <c r="P290" i="2"/>
  <c r="Y290" i="2" s="1"/>
  <c r="BO292" i="2"/>
  <c r="U293" i="2"/>
  <c r="BQ293" i="2" s="1"/>
  <c r="BS293" i="2" s="1"/>
  <c r="BV293" i="2" s="1"/>
  <c r="W297" i="2"/>
  <c r="BR297" i="2" s="1"/>
  <c r="U298" i="2"/>
  <c r="BQ298" i="2" s="1"/>
  <c r="BS298" i="2" s="1"/>
  <c r="BV298" i="2" s="1"/>
  <c r="BO301" i="2"/>
  <c r="BP301" i="2" s="1"/>
  <c r="U302" i="2"/>
  <c r="BQ302" i="2" s="1"/>
  <c r="BO309" i="2"/>
  <c r="BP309" i="2" s="1"/>
  <c r="BO311" i="2"/>
  <c r="BO310" i="2" s="1"/>
  <c r="BO313" i="2"/>
  <c r="J316" i="2"/>
  <c r="BO319" i="2"/>
  <c r="U320" i="2"/>
  <c r="BQ320" i="2" s="1"/>
  <c r="BS320" i="2" s="1"/>
  <c r="BV320" i="2" s="1"/>
  <c r="BW320" i="2" s="1"/>
  <c r="X322" i="2"/>
  <c r="Q323" i="2"/>
  <c r="Z323" i="2" s="1"/>
  <c r="Q325" i="2"/>
  <c r="Z325" i="2" s="1"/>
  <c r="Q331" i="2"/>
  <c r="Q336" i="2"/>
  <c r="Z336" i="2" s="1"/>
  <c r="Z337" i="2"/>
  <c r="AA339" i="2"/>
  <c r="AA338" i="2" s="1"/>
  <c r="AA280" i="2" s="1"/>
  <c r="AG339" i="2"/>
  <c r="AG338" i="2" s="1"/>
  <c r="AG280" i="2" s="1"/>
  <c r="AM339" i="2"/>
  <c r="AM338" i="2" s="1"/>
  <c r="AM280" i="2" s="1"/>
  <c r="AS339" i="2"/>
  <c r="AS338" i="2" s="1"/>
  <c r="AS280" i="2" s="1"/>
  <c r="AY339" i="2"/>
  <c r="AY338" i="2" s="1"/>
  <c r="BE339" i="2"/>
  <c r="BE338" i="2" s="1"/>
  <c r="BK339" i="2"/>
  <c r="BK338" i="2" s="1"/>
  <c r="BN341" i="2"/>
  <c r="W344" i="2"/>
  <c r="BR344" i="2" s="1"/>
  <c r="X347" i="2"/>
  <c r="BN354" i="2"/>
  <c r="J356" i="2"/>
  <c r="I356" i="2"/>
  <c r="N359" i="2"/>
  <c r="N358" i="2" s="1"/>
  <c r="P359" i="2"/>
  <c r="BO362" i="2"/>
  <c r="W364" i="2"/>
  <c r="BR364" i="2" s="1"/>
  <c r="U366" i="2"/>
  <c r="BQ366" i="2" s="1"/>
  <c r="BS366" i="2" s="1"/>
  <c r="BV366" i="2" s="1"/>
  <c r="I370" i="2"/>
  <c r="BQ370" i="2"/>
  <c r="V379" i="2"/>
  <c r="BT379" i="2" s="1"/>
  <c r="BW379" i="2" s="1"/>
  <c r="M374" i="2"/>
  <c r="M371" i="2" s="1"/>
  <c r="M338" i="2" s="1"/>
  <c r="M280" i="2" s="1"/>
  <c r="BP382" i="2"/>
  <c r="W387" i="2"/>
  <c r="BR387" i="2" s="1"/>
  <c r="BO387" i="2"/>
  <c r="Z387" i="2"/>
  <c r="W406" i="2"/>
  <c r="BR406" i="2" s="1"/>
  <c r="BR458" i="2"/>
  <c r="BR457" i="2" s="1"/>
  <c r="W457" i="2"/>
  <c r="U252" i="2"/>
  <c r="BQ252" i="2" s="1"/>
  <c r="BS252" i="2" s="1"/>
  <c r="BV252" i="2" s="1"/>
  <c r="Q269" i="2"/>
  <c r="U284" i="2"/>
  <c r="BQ284" i="2" s="1"/>
  <c r="BS284" i="2" s="1"/>
  <c r="BV284" i="2" s="1"/>
  <c r="Q290" i="2"/>
  <c r="Z290" i="2" s="1"/>
  <c r="U294" i="2"/>
  <c r="BQ294" i="2" s="1"/>
  <c r="BS294" i="2" s="1"/>
  <c r="BV294" i="2" s="1"/>
  <c r="W306" i="2"/>
  <c r="BR306" i="2" s="1"/>
  <c r="BS306" i="2" s="1"/>
  <c r="BV306" i="2" s="1"/>
  <c r="BW306" i="2" s="1"/>
  <c r="U314" i="2"/>
  <c r="BQ314" i="2" s="1"/>
  <c r="BS314" i="2" s="1"/>
  <c r="BV314" i="2" s="1"/>
  <c r="U321" i="2"/>
  <c r="BQ321" i="2" s="1"/>
  <c r="BS321" i="2" s="1"/>
  <c r="BV321" i="2" s="1"/>
  <c r="AO737" i="2"/>
  <c r="BG737" i="2"/>
  <c r="J337" i="2"/>
  <c r="J341" i="2"/>
  <c r="BO341" i="2"/>
  <c r="BO340" i="2" s="1"/>
  <c r="W346" i="2"/>
  <c r="G347" i="2"/>
  <c r="J348" i="2"/>
  <c r="BN351" i="2"/>
  <c r="J355" i="2"/>
  <c r="BN357" i="2"/>
  <c r="G359" i="2"/>
  <c r="S359" i="2"/>
  <c r="AI359" i="2"/>
  <c r="AI358" i="2" s="1"/>
  <c r="AI338" i="2" s="1"/>
  <c r="AI280" i="2" s="1"/>
  <c r="Q360" i="2"/>
  <c r="X361" i="2"/>
  <c r="BN361" i="2"/>
  <c r="W363" i="2"/>
  <c r="BR363" i="2" s="1"/>
  <c r="U363" i="2"/>
  <c r="BQ363" i="2" s="1"/>
  <c r="BO364" i="2"/>
  <c r="L371" i="2"/>
  <c r="Z373" i="2"/>
  <c r="BR375" i="2"/>
  <c r="BO378" i="2"/>
  <c r="BP378" i="2" s="1"/>
  <c r="U362" i="2"/>
  <c r="BQ362" i="2" s="1"/>
  <c r="BS362" i="2" s="1"/>
  <c r="BV362" i="2" s="1"/>
  <c r="BN362" i="2"/>
  <c r="BP362" i="2" s="1"/>
  <c r="U364" i="2"/>
  <c r="BQ364" i="2" s="1"/>
  <c r="BN364" i="2"/>
  <c r="BP364" i="2" s="1"/>
  <c r="W368" i="2"/>
  <c r="BR368" i="2" s="1"/>
  <c r="W370" i="2"/>
  <c r="BO370" i="2"/>
  <c r="I7" i="3"/>
  <c r="C8" i="3"/>
  <c r="O372" i="2"/>
  <c r="Q374" i="2"/>
  <c r="Z374" i="2" s="1"/>
  <c r="BG374" i="2"/>
  <c r="BG371" i="2" s="1"/>
  <c r="BG338" i="2" s="1"/>
  <c r="BG280" i="2" s="1"/>
  <c r="U376" i="2"/>
  <c r="BQ376" i="2" s="1"/>
  <c r="BS376" i="2" s="1"/>
  <c r="BV376" i="2" s="1"/>
  <c r="U380" i="2"/>
  <c r="BQ380" i="2" s="1"/>
  <c r="BN380" i="2"/>
  <c r="BP380" i="2" s="1"/>
  <c r="W382" i="2"/>
  <c r="BR382" i="2" s="1"/>
  <c r="BS382" i="2" s="1"/>
  <c r="BV382" i="2" s="1"/>
  <c r="U386" i="2"/>
  <c r="BQ386" i="2" s="1"/>
  <c r="BN387" i="2"/>
  <c r="W390" i="2"/>
  <c r="BR390" i="2" s="1"/>
  <c r="U391" i="2"/>
  <c r="BQ391" i="2" s="1"/>
  <c r="BN392" i="2"/>
  <c r="BP392" i="2" s="1"/>
  <c r="W393" i="2"/>
  <c r="BR393" i="2" s="1"/>
  <c r="BS393" i="2" s="1"/>
  <c r="BV393" i="2" s="1"/>
  <c r="W395" i="2"/>
  <c r="BD394" i="2"/>
  <c r="BD371" i="2" s="1"/>
  <c r="BD338" i="2" s="1"/>
  <c r="BD280" i="2" s="1"/>
  <c r="BN397" i="2"/>
  <c r="BP397" i="2" s="1"/>
  <c r="BO399" i="2"/>
  <c r="Z400" i="2"/>
  <c r="J404" i="2"/>
  <c r="I404" i="2"/>
  <c r="V407" i="2"/>
  <c r="BP409" i="2"/>
  <c r="J410" i="2"/>
  <c r="I410" i="2"/>
  <c r="U412" i="2"/>
  <c r="BQ412" i="2" s="1"/>
  <c r="BS412" i="2" s="1"/>
  <c r="BV412" i="2" s="1"/>
  <c r="Q417" i="2"/>
  <c r="Y419" i="2"/>
  <c r="P418" i="2"/>
  <c r="Y418" i="2" s="1"/>
  <c r="Q418" i="2"/>
  <c r="Z418" i="2" s="1"/>
  <c r="BO419" i="2"/>
  <c r="BO418" i="2" s="1"/>
  <c r="Z419" i="2"/>
  <c r="J420" i="2"/>
  <c r="I420" i="2"/>
  <c r="V426" i="2"/>
  <c r="BT427" i="2"/>
  <c r="BT426" i="2" s="1"/>
  <c r="Q430" i="2"/>
  <c r="BJ426" i="2"/>
  <c r="BJ425" i="2" s="1"/>
  <c r="BJ424" i="2" s="1"/>
  <c r="J434" i="2"/>
  <c r="I434" i="2"/>
  <c r="AZ436" i="2"/>
  <c r="BP437" i="2"/>
  <c r="J438" i="2"/>
  <c r="I438" i="2"/>
  <c r="W449" i="2"/>
  <c r="BR449" i="2" s="1"/>
  <c r="Z452" i="2"/>
  <c r="BG450" i="2"/>
  <c r="R451" i="2"/>
  <c r="Z456" i="2"/>
  <c r="Q455" i="2"/>
  <c r="Z455" i="2" s="1"/>
  <c r="BO456" i="2"/>
  <c r="BN462" i="2"/>
  <c r="BP463" i="2"/>
  <c r="BO466" i="2"/>
  <c r="BO465" i="2" s="1"/>
  <c r="Z466" i="2"/>
  <c r="Q465" i="2"/>
  <c r="Z465" i="2" s="1"/>
  <c r="W466" i="2"/>
  <c r="V532" i="2"/>
  <c r="BT532" i="2" s="1"/>
  <c r="BW532" i="2" s="1"/>
  <c r="S527" i="2"/>
  <c r="U388" i="2"/>
  <c r="BQ388" i="2" s="1"/>
  <c r="BS388" i="2" s="1"/>
  <c r="BV388" i="2" s="1"/>
  <c r="BN388" i="2"/>
  <c r="BP388" i="2" s="1"/>
  <c r="U392" i="2"/>
  <c r="BQ392" i="2" s="1"/>
  <c r="BS392" i="2" s="1"/>
  <c r="BV392" i="2" s="1"/>
  <c r="U397" i="2"/>
  <c r="BQ397" i="2" s="1"/>
  <c r="BS397" i="2" s="1"/>
  <c r="BV397" i="2" s="1"/>
  <c r="BU400" i="2"/>
  <c r="U404" i="2"/>
  <c r="BQ404" i="2" s="1"/>
  <c r="J406" i="2"/>
  <c r="I406" i="2"/>
  <c r="BR408" i="2"/>
  <c r="BR407" i="2" s="1"/>
  <c r="U410" i="2"/>
  <c r="BQ410" i="2" s="1"/>
  <c r="J415" i="2"/>
  <c r="I415" i="2"/>
  <c r="BN418" i="2"/>
  <c r="BS427" i="2"/>
  <c r="BP431" i="2"/>
  <c r="J445" i="2"/>
  <c r="I445" i="2"/>
  <c r="BO449" i="2"/>
  <c r="Y451" i="2"/>
  <c r="Z458" i="2"/>
  <c r="Q457" i="2"/>
  <c r="Z457" i="2" s="1"/>
  <c r="BO458" i="2"/>
  <c r="BR460" i="2"/>
  <c r="BR459" i="2" s="1"/>
  <c r="W459" i="2"/>
  <c r="Y485" i="2"/>
  <c r="P484" i="2"/>
  <c r="Y484" i="2" s="1"/>
  <c r="X515" i="2"/>
  <c r="U373" i="2"/>
  <c r="BN373" i="2"/>
  <c r="S374" i="2"/>
  <c r="S371" i="2" s="1"/>
  <c r="U375" i="2"/>
  <c r="W376" i="2"/>
  <c r="BR376" i="2" s="1"/>
  <c r="BO376" i="2"/>
  <c r="BO374" i="2" s="1"/>
  <c r="U377" i="2"/>
  <c r="BQ377" i="2" s="1"/>
  <c r="BS377" i="2" s="1"/>
  <c r="BV377" i="2" s="1"/>
  <c r="U379" i="2"/>
  <c r="BQ379" i="2" s="1"/>
  <c r="BS379" i="2" s="1"/>
  <c r="BV379" i="2" s="1"/>
  <c r="W380" i="2"/>
  <c r="BR380" i="2" s="1"/>
  <c r="W386" i="2"/>
  <c r="BR386" i="2" s="1"/>
  <c r="BO386" i="2"/>
  <c r="U387" i="2"/>
  <c r="BQ387" i="2" s="1"/>
  <c r="BS387" i="2" s="1"/>
  <c r="BV387" i="2" s="1"/>
  <c r="U389" i="2"/>
  <c r="BQ389" i="2" s="1"/>
  <c r="BS389" i="2" s="1"/>
  <c r="BV389" i="2" s="1"/>
  <c r="BN389" i="2"/>
  <c r="BP389" i="2" s="1"/>
  <c r="W391" i="2"/>
  <c r="BR391" i="2" s="1"/>
  <c r="BO391" i="2"/>
  <c r="BP391" i="2" s="1"/>
  <c r="G394" i="2"/>
  <c r="I395" i="2"/>
  <c r="Z398" i="2"/>
  <c r="W398" i="2"/>
  <c r="BR398" i="2" s="1"/>
  <c r="BS398" i="2" s="1"/>
  <c r="BV398" i="2" s="1"/>
  <c r="BP398" i="2"/>
  <c r="BO401" i="2"/>
  <c r="Z401" i="2"/>
  <c r="W401" i="2"/>
  <c r="BR401" i="2" s="1"/>
  <c r="BS401" i="2" s="1"/>
  <c r="BV401" i="2" s="1"/>
  <c r="U402" i="2"/>
  <c r="BQ402" i="2" s="1"/>
  <c r="O407" i="2"/>
  <c r="X407" i="2" s="1"/>
  <c r="BO408" i="2"/>
  <c r="Q407" i="2"/>
  <c r="Z407" i="2" s="1"/>
  <c r="Z408" i="2"/>
  <c r="BT407" i="2"/>
  <c r="G416" i="2"/>
  <c r="J417" i="2"/>
  <c r="I417" i="2"/>
  <c r="X421" i="2"/>
  <c r="O420" i="2"/>
  <c r="X420" i="2" s="1"/>
  <c r="U421" i="2"/>
  <c r="AB425" i="2"/>
  <c r="AB424" i="2" s="1"/>
  <c r="AB338" i="2" s="1"/>
  <c r="AB280" i="2" s="1"/>
  <c r="Z428" i="2"/>
  <c r="BO428" i="2"/>
  <c r="M92" i="3"/>
  <c r="L119" i="3" s="1"/>
  <c r="N119" i="3" s="1"/>
  <c r="Z434" i="2"/>
  <c r="BO434" i="2"/>
  <c r="BP434" i="2" s="1"/>
  <c r="P436" i="2"/>
  <c r="Y436" i="2" s="1"/>
  <c r="I441" i="2"/>
  <c r="BS441" i="2"/>
  <c r="BV441" i="2" s="1"/>
  <c r="Z448" i="2"/>
  <c r="BO448" i="2"/>
  <c r="V452" i="2"/>
  <c r="V451" i="2" s="1"/>
  <c r="G452" i="2"/>
  <c r="J453" i="2"/>
  <c r="I453" i="2"/>
  <c r="Z460" i="2"/>
  <c r="Q459" i="2"/>
  <c r="Z459" i="2" s="1"/>
  <c r="BO460" i="2"/>
  <c r="BO459" i="2" s="1"/>
  <c r="E461" i="2"/>
  <c r="BO462" i="2"/>
  <c r="BO461" i="2" s="1"/>
  <c r="Z464" i="2"/>
  <c r="Q462" i="2"/>
  <c r="BO464" i="2"/>
  <c r="BP464" i="2" s="1"/>
  <c r="I475" i="2"/>
  <c r="I479" i="2"/>
  <c r="BN493" i="2"/>
  <c r="W354" i="2"/>
  <c r="U367" i="2"/>
  <c r="BQ367" i="2" s="1"/>
  <c r="BS367" i="2" s="1"/>
  <c r="BV367" i="2" s="1"/>
  <c r="Z368" i="2"/>
  <c r="V373" i="2"/>
  <c r="AX374" i="2"/>
  <c r="P375" i="2"/>
  <c r="I378" i="2"/>
  <c r="P379" i="2"/>
  <c r="Y379" i="2" s="1"/>
  <c r="W381" i="2"/>
  <c r="BR381" i="2" s="1"/>
  <c r="Z382" i="2"/>
  <c r="U385" i="2"/>
  <c r="BQ385" i="2" s="1"/>
  <c r="I386" i="2"/>
  <c r="Z390" i="2"/>
  <c r="I391" i="2"/>
  <c r="I393" i="2"/>
  <c r="Z393" i="2"/>
  <c r="O394" i="2"/>
  <c r="X394" i="2" s="1"/>
  <c r="Z395" i="2"/>
  <c r="U396" i="2"/>
  <c r="BQ396" i="2" s="1"/>
  <c r="BO398" i="2"/>
  <c r="I403" i="2"/>
  <c r="Z404" i="2"/>
  <c r="BO404" i="2"/>
  <c r="BP404" i="2" s="1"/>
  <c r="W404" i="2"/>
  <c r="BR404" i="2" s="1"/>
  <c r="BN405" i="2"/>
  <c r="X405" i="2"/>
  <c r="I407" i="2"/>
  <c r="P407" i="2"/>
  <c r="Y407" i="2" s="1"/>
  <c r="Z410" i="2"/>
  <c r="BO410" i="2"/>
  <c r="BP410" i="2" s="1"/>
  <c r="W410" i="2"/>
  <c r="BR410" i="2" s="1"/>
  <c r="X427" i="2"/>
  <c r="BN427" i="2"/>
  <c r="O426" i="2"/>
  <c r="P434" i="2"/>
  <c r="Y434" i="2" s="1"/>
  <c r="Q436" i="2"/>
  <c r="Z436" i="2" s="1"/>
  <c r="R436" i="2"/>
  <c r="Z438" i="2"/>
  <c r="BO438" i="2"/>
  <c r="BP438" i="2" s="1"/>
  <c r="X440" i="2"/>
  <c r="BN440" i="2"/>
  <c r="BP440" i="2" s="1"/>
  <c r="BP446" i="2"/>
  <c r="AH450" i="2"/>
  <c r="AQ450" i="2"/>
  <c r="AQ280" i="2" s="1"/>
  <c r="AZ450" i="2"/>
  <c r="E450" i="2"/>
  <c r="BN452" i="2"/>
  <c r="BN451" i="2" s="1"/>
  <c r="BP453" i="2"/>
  <c r="X465" i="2"/>
  <c r="J465" i="2"/>
  <c r="BN486" i="2"/>
  <c r="BO343" i="2"/>
  <c r="BP343" i="2" s="1"/>
  <c r="U344" i="2"/>
  <c r="BQ344" i="2" s="1"/>
  <c r="U346" i="2"/>
  <c r="BO367" i="2"/>
  <c r="BP367" i="2" s="1"/>
  <c r="U368" i="2"/>
  <c r="BQ368" i="2" s="1"/>
  <c r="I374" i="2"/>
  <c r="O374" i="2"/>
  <c r="X374" i="2" s="1"/>
  <c r="I376" i="2"/>
  <c r="BN377" i="2"/>
  <c r="BP377" i="2" s="1"/>
  <c r="I380" i="2"/>
  <c r="U390" i="2"/>
  <c r="BQ390" i="2" s="1"/>
  <c r="BN393" i="2"/>
  <c r="BP393" i="2" s="1"/>
  <c r="BM394" i="2"/>
  <c r="BM371" i="2" s="1"/>
  <c r="BM338" i="2" s="1"/>
  <c r="N394" i="2"/>
  <c r="N740" i="2" s="1"/>
  <c r="BO395" i="2"/>
  <c r="AX394" i="2"/>
  <c r="AX740" i="2" s="1"/>
  <c r="J399" i="2"/>
  <c r="BP403" i="2"/>
  <c r="X404" i="2"/>
  <c r="S407" i="2"/>
  <c r="J408" i="2"/>
  <c r="I408" i="2"/>
  <c r="R407" i="2"/>
  <c r="R741" i="2" s="1"/>
  <c r="X410" i="2"/>
  <c r="BN412" i="2"/>
  <c r="BP412" i="2" s="1"/>
  <c r="J413" i="2"/>
  <c r="Z415" i="2"/>
  <c r="BO415" i="2"/>
  <c r="BP415" i="2" s="1"/>
  <c r="W419" i="2"/>
  <c r="U419" i="2"/>
  <c r="BR421" i="2"/>
  <c r="G426" i="2"/>
  <c r="S426" i="2"/>
  <c r="S425" i="2" s="1"/>
  <c r="S424" i="2" s="1"/>
  <c r="L146" i="3" s="1"/>
  <c r="N146" i="3" s="1"/>
  <c r="AH426" i="2"/>
  <c r="AH425" i="2" s="1"/>
  <c r="AH424" i="2" s="1"/>
  <c r="AH338" i="2" s="1"/>
  <c r="AH280" i="2" s="1"/>
  <c r="P427" i="2"/>
  <c r="J428" i="2"/>
  <c r="I428" i="2"/>
  <c r="W429" i="2"/>
  <c r="BR429" i="2" s="1"/>
  <c r="U430" i="2"/>
  <c r="BQ430" i="2" s="1"/>
  <c r="Q433" i="2"/>
  <c r="G436" i="2"/>
  <c r="J437" i="2"/>
  <c r="V437" i="2"/>
  <c r="S436" i="2"/>
  <c r="BO439" i="2"/>
  <c r="BP439" i="2" s="1"/>
  <c r="AK436" i="2"/>
  <c r="AK425" i="2" s="1"/>
  <c r="P440" i="2"/>
  <c r="Y440" i="2" s="1"/>
  <c r="Z442" i="2"/>
  <c r="BO442" i="2"/>
  <c r="BP442" i="2" s="1"/>
  <c r="J457" i="2"/>
  <c r="Y462" i="2"/>
  <c r="P461" i="2"/>
  <c r="Y461" i="2" s="1"/>
  <c r="BT461" i="2"/>
  <c r="V476" i="2"/>
  <c r="S475" i="2"/>
  <c r="V480" i="2"/>
  <c r="S479" i="2"/>
  <c r="S744" i="2" s="1"/>
  <c r="L179" i="3" s="1"/>
  <c r="V508" i="2"/>
  <c r="BT510" i="2"/>
  <c r="BT508" i="2" s="1"/>
  <c r="BT505" i="2" s="1"/>
  <c r="G371" i="2"/>
  <c r="X375" i="2"/>
  <c r="X379" i="2"/>
  <c r="W385" i="2"/>
  <c r="BR385" i="2" s="1"/>
  <c r="Q396" i="2"/>
  <c r="Z397" i="2"/>
  <c r="BP399" i="2"/>
  <c r="J402" i="2"/>
  <c r="X402" i="2"/>
  <c r="Q405" i="2"/>
  <c r="W405" i="2" s="1"/>
  <c r="BR405" i="2" s="1"/>
  <c r="BS405" i="2" s="1"/>
  <c r="BV405" i="2" s="1"/>
  <c r="AL394" i="2"/>
  <c r="AL371" i="2" s="1"/>
  <c r="AL338" i="2" s="1"/>
  <c r="AL280" i="2" s="1"/>
  <c r="T407" i="2"/>
  <c r="T371" i="2" s="1"/>
  <c r="BP408" i="2"/>
  <c r="U413" i="2"/>
  <c r="BQ413" i="2" s="1"/>
  <c r="BS413" i="2" s="1"/>
  <c r="BV413" i="2" s="1"/>
  <c r="K407" i="2"/>
  <c r="K371" i="2" s="1"/>
  <c r="K338" i="2" s="1"/>
  <c r="P417" i="2"/>
  <c r="AX418" i="2"/>
  <c r="AX745" i="2" s="1"/>
  <c r="BN421" i="2"/>
  <c r="BW423" i="2"/>
  <c r="AZ425" i="2"/>
  <c r="AZ424" i="2" s="1"/>
  <c r="AZ338" i="2" s="1"/>
  <c r="AZ280" i="2" s="1"/>
  <c r="BO429" i="2"/>
  <c r="Z432" i="2"/>
  <c r="BO432" i="2"/>
  <c r="BP432" i="2" s="1"/>
  <c r="P435" i="2"/>
  <c r="Y435" i="2" s="1"/>
  <c r="BO445" i="2"/>
  <c r="U446" i="2"/>
  <c r="BQ446" i="2" s="1"/>
  <c r="J448" i="2"/>
  <c r="I448" i="2"/>
  <c r="M450" i="2"/>
  <c r="AB450" i="2"/>
  <c r="AT450" i="2"/>
  <c r="BC450" i="2"/>
  <c r="BC280" i="2" s="1"/>
  <c r="BL450" i="2"/>
  <c r="BL280" i="2" s="1"/>
  <c r="Z454" i="2"/>
  <c r="BO454" i="2"/>
  <c r="BP454" i="2" s="1"/>
  <c r="W456" i="2"/>
  <c r="J459" i="2"/>
  <c r="G462" i="2"/>
  <c r="J463" i="2"/>
  <c r="I463" i="2"/>
  <c r="BO468" i="2"/>
  <c r="BO467" i="2" s="1"/>
  <c r="Z468" i="2"/>
  <c r="W468" i="2"/>
  <c r="Q467" i="2"/>
  <c r="Z467" i="2" s="1"/>
  <c r="Z491" i="2"/>
  <c r="W493" i="2"/>
  <c r="BR509" i="2"/>
  <c r="W508" i="2"/>
  <c r="U399" i="2"/>
  <c r="BQ399" i="2" s="1"/>
  <c r="BS399" i="2" s="1"/>
  <c r="BV399" i="2" s="1"/>
  <c r="W403" i="2"/>
  <c r="BR403" i="2" s="1"/>
  <c r="U406" i="2"/>
  <c r="BQ406" i="2" s="1"/>
  <c r="U408" i="2"/>
  <c r="U411" i="2"/>
  <c r="BQ411" i="2" s="1"/>
  <c r="BS411" i="2" s="1"/>
  <c r="BV411" i="2" s="1"/>
  <c r="BN411" i="2"/>
  <c r="BP411" i="2" s="1"/>
  <c r="W414" i="2"/>
  <c r="BR414" i="2" s="1"/>
  <c r="U417" i="2"/>
  <c r="BN417" i="2"/>
  <c r="Q420" i="2"/>
  <c r="Z420" i="2" s="1"/>
  <c r="W423" i="2"/>
  <c r="BR423" i="2" s="1"/>
  <c r="U428" i="2"/>
  <c r="BQ428" i="2" s="1"/>
  <c r="BS428" i="2" s="1"/>
  <c r="BV428" i="2" s="1"/>
  <c r="U429" i="2"/>
  <c r="BQ429" i="2" s="1"/>
  <c r="BS429" i="2" s="1"/>
  <c r="BV429" i="2" s="1"/>
  <c r="BN429" i="2"/>
  <c r="BP429" i="2" s="1"/>
  <c r="U433" i="2"/>
  <c r="BQ433" i="2" s="1"/>
  <c r="W435" i="2"/>
  <c r="BR435" i="2" s="1"/>
  <c r="O436" i="2"/>
  <c r="X436" i="2" s="1"/>
  <c r="W437" i="2"/>
  <c r="U439" i="2"/>
  <c r="BQ439" i="2" s="1"/>
  <c r="BS439" i="2" s="1"/>
  <c r="BV439" i="2" s="1"/>
  <c r="W441" i="2"/>
  <c r="BR441" i="2" s="1"/>
  <c r="BO441" i="2"/>
  <c r="BP441" i="2" s="1"/>
  <c r="U442" i="2"/>
  <c r="BQ442" i="2" s="1"/>
  <c r="BS442" i="2" s="1"/>
  <c r="BV442" i="2" s="1"/>
  <c r="W444" i="2"/>
  <c r="BR444" i="2" s="1"/>
  <c r="BN445" i="2"/>
  <c r="BP445" i="2" s="1"/>
  <c r="U449" i="2"/>
  <c r="BQ449" i="2" s="1"/>
  <c r="BS449" i="2" s="1"/>
  <c r="BV449" i="2" s="1"/>
  <c r="BN449" i="2"/>
  <c r="O452" i="2"/>
  <c r="W453" i="2"/>
  <c r="O462" i="2"/>
  <c r="W463" i="2"/>
  <c r="J470" i="2"/>
  <c r="BT470" i="2"/>
  <c r="BT469" i="2" s="1"/>
  <c r="Z472" i="2"/>
  <c r="BR473" i="2"/>
  <c r="BR472" i="2" s="1"/>
  <c r="BR471" i="2" s="1"/>
  <c r="X474" i="2"/>
  <c r="O472" i="2"/>
  <c r="U474" i="2"/>
  <c r="BQ474" i="2" s="1"/>
  <c r="S477" i="2"/>
  <c r="S739" i="2" s="1"/>
  <c r="L174" i="3" s="1"/>
  <c r="X478" i="2"/>
  <c r="O477" i="2"/>
  <c r="X477" i="2" s="1"/>
  <c r="U478" i="2"/>
  <c r="H481" i="2"/>
  <c r="V484" i="2"/>
  <c r="BT485" i="2"/>
  <c r="BT484" i="2" s="1"/>
  <c r="J491" i="2"/>
  <c r="I491" i="2"/>
  <c r="BT492" i="2"/>
  <c r="BT491" i="2" s="1"/>
  <c r="G495" i="2"/>
  <c r="X496" i="2"/>
  <c r="O495" i="2"/>
  <c r="X495" i="2" s="1"/>
  <c r="U496" i="2"/>
  <c r="J497" i="2"/>
  <c r="BS500" i="2"/>
  <c r="BV500" i="2" s="1"/>
  <c r="BN501" i="2"/>
  <c r="BP501" i="2" s="1"/>
  <c r="O498" i="2"/>
  <c r="X498" i="2" s="1"/>
  <c r="X501" i="2"/>
  <c r="U501" i="2"/>
  <c r="BQ501" i="2" s="1"/>
  <c r="BP503" i="2"/>
  <c r="BN502" i="2"/>
  <c r="BN508" i="2"/>
  <c r="BN505" i="2" s="1"/>
  <c r="I521" i="2"/>
  <c r="J521" i="2"/>
  <c r="G524" i="2"/>
  <c r="I525" i="2"/>
  <c r="J525" i="2"/>
  <c r="Z541" i="2"/>
  <c r="Q540" i="2"/>
  <c r="BU547" i="2"/>
  <c r="Y568" i="2"/>
  <c r="P566" i="2"/>
  <c r="Y566" i="2" s="1"/>
  <c r="U470" i="2"/>
  <c r="BN477" i="2"/>
  <c r="V482" i="2"/>
  <c r="V481" i="2" s="1"/>
  <c r="BT483" i="2"/>
  <c r="BT482" i="2" s="1"/>
  <c r="BT481" i="2" s="1"/>
  <c r="BR485" i="2"/>
  <c r="BR484" i="2" s="1"/>
  <c r="W484" i="2"/>
  <c r="V486" i="2"/>
  <c r="BT487" i="2"/>
  <c r="BT486" i="2" s="1"/>
  <c r="BM490" i="2"/>
  <c r="X492" i="2"/>
  <c r="O491" i="2"/>
  <c r="U492" i="2"/>
  <c r="BP496" i="2"/>
  <c r="BN495" i="2"/>
  <c r="P505" i="2"/>
  <c r="Y505" i="2" s="1"/>
  <c r="Y506" i="2"/>
  <c r="BQ506" i="2"/>
  <c r="BO509" i="2"/>
  <c r="BO508" i="2" s="1"/>
  <c r="BO505" i="2" s="1"/>
  <c r="Z509" i="2"/>
  <c r="Q508" i="2"/>
  <c r="X510" i="2"/>
  <c r="BN510" i="2"/>
  <c r="U510" i="2"/>
  <c r="BQ510" i="2" s="1"/>
  <c r="R513" i="2"/>
  <c r="BK512" i="2"/>
  <c r="BO520" i="2"/>
  <c r="Q518" i="2"/>
  <c r="Z518" i="2" s="1"/>
  <c r="Z520" i="2"/>
  <c r="T513" i="2"/>
  <c r="BU528" i="2"/>
  <c r="BU537" i="2"/>
  <c r="I561" i="2"/>
  <c r="J561" i="2"/>
  <c r="U395" i="2"/>
  <c r="U400" i="2"/>
  <c r="BQ400" i="2" s="1"/>
  <c r="BS400" i="2" s="1"/>
  <c r="BV400" i="2" s="1"/>
  <c r="BW400" i="2" s="1"/>
  <c r="BN401" i="2"/>
  <c r="BO421" i="2"/>
  <c r="U422" i="2"/>
  <c r="BQ422" i="2" s="1"/>
  <c r="BS422" i="2" s="1"/>
  <c r="BV422" i="2" s="1"/>
  <c r="U431" i="2"/>
  <c r="BQ431" i="2" s="1"/>
  <c r="BS431" i="2" s="1"/>
  <c r="BV431" i="2" s="1"/>
  <c r="U443" i="2"/>
  <c r="BQ443" i="2" s="1"/>
  <c r="BS443" i="2" s="1"/>
  <c r="BV443" i="2" s="1"/>
  <c r="W446" i="2"/>
  <c r="BR446" i="2" s="1"/>
  <c r="I454" i="2"/>
  <c r="I456" i="2"/>
  <c r="I458" i="2"/>
  <c r="I460" i="2"/>
  <c r="I464" i="2"/>
  <c r="J466" i="2"/>
  <c r="J468" i="2"/>
  <c r="J469" i="2"/>
  <c r="R471" i="2"/>
  <c r="X476" i="2"/>
  <c r="O475" i="2"/>
  <c r="X475" i="2" s="1"/>
  <c r="U476" i="2"/>
  <c r="X480" i="2"/>
  <c r="O479" i="2"/>
  <c r="X479" i="2" s="1"/>
  <c r="U480" i="2"/>
  <c r="BP482" i="2"/>
  <c r="BP481" i="2" s="1"/>
  <c r="Y483" i="2"/>
  <c r="P482" i="2"/>
  <c r="Y487" i="2"/>
  <c r="P486" i="2"/>
  <c r="Y486" i="2" s="1"/>
  <c r="P490" i="2"/>
  <c r="Y490" i="2" s="1"/>
  <c r="J493" i="2"/>
  <c r="I493" i="2"/>
  <c r="BT494" i="2"/>
  <c r="BT493" i="2" s="1"/>
  <c r="R495" i="2"/>
  <c r="R490" i="2" s="1"/>
  <c r="BO498" i="2"/>
  <c r="V504" i="2"/>
  <c r="S502" i="2"/>
  <c r="S513" i="2"/>
  <c r="BL512" i="2"/>
  <c r="BN516" i="2"/>
  <c r="R514" i="2"/>
  <c r="AC512" i="2"/>
  <c r="U403" i="2"/>
  <c r="BQ403" i="2" s="1"/>
  <c r="BS403" i="2" s="1"/>
  <c r="BV403" i="2" s="1"/>
  <c r="BO413" i="2"/>
  <c r="BP413" i="2" s="1"/>
  <c r="U414" i="2"/>
  <c r="BQ414" i="2" s="1"/>
  <c r="BO422" i="2"/>
  <c r="BP422" i="2" s="1"/>
  <c r="U423" i="2"/>
  <c r="BQ423" i="2" s="1"/>
  <c r="BS423" i="2" s="1"/>
  <c r="BV423" i="2" s="1"/>
  <c r="BO431" i="2"/>
  <c r="U435" i="2"/>
  <c r="BQ435" i="2" s="1"/>
  <c r="BS435" i="2" s="1"/>
  <c r="BV435" i="2" s="1"/>
  <c r="BW435" i="2" s="1"/>
  <c r="U437" i="2"/>
  <c r="W440" i="2"/>
  <c r="BR440" i="2" s="1"/>
  <c r="BS440" i="2" s="1"/>
  <c r="BV440" i="2" s="1"/>
  <c r="BO443" i="2"/>
  <c r="BP443" i="2" s="1"/>
  <c r="U444" i="2"/>
  <c r="BQ444" i="2" s="1"/>
  <c r="BS444" i="2" s="1"/>
  <c r="BV444" i="2" s="1"/>
  <c r="BW444" i="2" s="1"/>
  <c r="S452" i="2"/>
  <c r="S451" i="2" s="1"/>
  <c r="U453" i="2"/>
  <c r="J456" i="2"/>
  <c r="J458" i="2"/>
  <c r="J460" i="2"/>
  <c r="S462" i="2"/>
  <c r="S461" i="2" s="1"/>
  <c r="U463" i="2"/>
  <c r="O467" i="2"/>
  <c r="X467" i="2" s="1"/>
  <c r="O469" i="2"/>
  <c r="X469" i="2" s="1"/>
  <c r="BN470" i="2"/>
  <c r="BN472" i="2"/>
  <c r="BN471" i="2" s="1"/>
  <c r="BP473" i="2"/>
  <c r="V472" i="2"/>
  <c r="BT473" i="2"/>
  <c r="BT472" i="2" s="1"/>
  <c r="J477" i="2"/>
  <c r="I477" i="2"/>
  <c r="BT478" i="2"/>
  <c r="BT477" i="2" s="1"/>
  <c r="N481" i="2"/>
  <c r="AF481" i="2"/>
  <c r="AF280" i="2" s="1"/>
  <c r="AL481" i="2"/>
  <c r="AR481" i="2"/>
  <c r="AR280" i="2" s="1"/>
  <c r="AX481" i="2"/>
  <c r="BD481" i="2"/>
  <c r="BJ481" i="2"/>
  <c r="BR483" i="2"/>
  <c r="BR482" i="2" s="1"/>
  <c r="BR481" i="2" s="1"/>
  <c r="W482" i="2"/>
  <c r="W481" i="2" s="1"/>
  <c r="BR487" i="2"/>
  <c r="X488" i="2"/>
  <c r="O486" i="2"/>
  <c r="X486" i="2" s="1"/>
  <c r="U488" i="2"/>
  <c r="BQ488" i="2" s="1"/>
  <c r="E490" i="2"/>
  <c r="M490" i="2"/>
  <c r="AE490" i="2"/>
  <c r="AE280" i="2" s="1"/>
  <c r="AK490" i="2"/>
  <c r="AQ490" i="2"/>
  <c r="AW490" i="2"/>
  <c r="AW280" i="2" s="1"/>
  <c r="BC490" i="2"/>
  <c r="BI490" i="2"/>
  <c r="BI280" i="2" s="1"/>
  <c r="BN492" i="2"/>
  <c r="BT496" i="2"/>
  <c r="BT495" i="2" s="1"/>
  <c r="AG512" i="2"/>
  <c r="AM512" i="2"/>
  <c r="AZ512" i="2"/>
  <c r="BU573" i="2"/>
  <c r="U415" i="2"/>
  <c r="BQ415" i="2" s="1"/>
  <c r="BS415" i="2" s="1"/>
  <c r="BV415" i="2" s="1"/>
  <c r="C6" i="3"/>
  <c r="I8" i="3"/>
  <c r="U432" i="2"/>
  <c r="BQ432" i="2" s="1"/>
  <c r="BS432" i="2" s="1"/>
  <c r="BV432" i="2" s="1"/>
  <c r="U438" i="2"/>
  <c r="BQ438" i="2" s="1"/>
  <c r="BS438" i="2" s="1"/>
  <c r="BV438" i="2" s="1"/>
  <c r="W447" i="2"/>
  <c r="BR447" i="2" s="1"/>
  <c r="BS447" i="2" s="1"/>
  <c r="BV447" i="2" s="1"/>
  <c r="BW447" i="2" s="1"/>
  <c r="U448" i="2"/>
  <c r="BQ448" i="2" s="1"/>
  <c r="BS448" i="2" s="1"/>
  <c r="BV448" i="2" s="1"/>
  <c r="U454" i="2"/>
  <c r="BQ454" i="2" s="1"/>
  <c r="BS454" i="2" s="1"/>
  <c r="BV454" i="2" s="1"/>
  <c r="U456" i="2"/>
  <c r="U458" i="2"/>
  <c r="U460" i="2"/>
  <c r="U464" i="2"/>
  <c r="BQ464" i="2" s="1"/>
  <c r="BS464" i="2" s="1"/>
  <c r="BV464" i="2" s="1"/>
  <c r="U466" i="2"/>
  <c r="U468" i="2"/>
  <c r="Y473" i="2"/>
  <c r="P472" i="2"/>
  <c r="BN475" i="2"/>
  <c r="BP480" i="2"/>
  <c r="BN479" i="2"/>
  <c r="BW489" i="2"/>
  <c r="X494" i="2"/>
  <c r="O493" i="2"/>
  <c r="X493" i="2" s="1"/>
  <c r="U494" i="2"/>
  <c r="J498" i="2"/>
  <c r="I498" i="2"/>
  <c r="BT499" i="2"/>
  <c r="BT498" i="2" s="1"/>
  <c r="V498" i="2"/>
  <c r="BU504" i="2"/>
  <c r="G519" i="2"/>
  <c r="F518" i="2"/>
  <c r="F514" i="2" s="1"/>
  <c r="F513" i="2" s="1"/>
  <c r="F512" i="2" s="1"/>
  <c r="BT521" i="2"/>
  <c r="BT518" i="2" s="1"/>
  <c r="BT514" i="2" s="1"/>
  <c r="V518" i="2"/>
  <c r="BT525" i="2"/>
  <c r="BT524" i="2" s="1"/>
  <c r="V524" i="2"/>
  <c r="BQ528" i="2"/>
  <c r="R540" i="2"/>
  <c r="R539" i="2" s="1"/>
  <c r="BE569" i="2"/>
  <c r="BE554" i="2" s="1"/>
  <c r="BE539" i="2" s="1"/>
  <c r="BE512" i="2" s="1"/>
  <c r="O571" i="2"/>
  <c r="J585" i="2"/>
  <c r="X585" i="2"/>
  <c r="BN585" i="2"/>
  <c r="BP585" i="2" s="1"/>
  <c r="U585" i="2"/>
  <c r="BQ585" i="2" s="1"/>
  <c r="BS585" i="2" s="1"/>
  <c r="BV585" i="2" s="1"/>
  <c r="Z470" i="2"/>
  <c r="G472" i="2"/>
  <c r="U473" i="2"/>
  <c r="Z474" i="2"/>
  <c r="Z476" i="2"/>
  <c r="Z478" i="2"/>
  <c r="Z480" i="2"/>
  <c r="G482" i="2"/>
  <c r="U483" i="2"/>
  <c r="G484" i="2"/>
  <c r="U485" i="2"/>
  <c r="G486" i="2"/>
  <c r="U487" i="2"/>
  <c r="Z488" i="2"/>
  <c r="Z492" i="2"/>
  <c r="Z494" i="2"/>
  <c r="Z496" i="2"/>
  <c r="Y497" i="2"/>
  <c r="Q498" i="2"/>
  <c r="Z498" i="2" s="1"/>
  <c r="I499" i="2"/>
  <c r="BP500" i="2"/>
  <c r="J501" i="2"/>
  <c r="G506" i="2"/>
  <c r="W507" i="2"/>
  <c r="BJ508" i="2"/>
  <c r="BJ505" i="2" s="1"/>
  <c r="BJ490" i="2" s="1"/>
  <c r="W510" i="2"/>
  <c r="BR510" i="2" s="1"/>
  <c r="BP517" i="2"/>
  <c r="BO518" i="2"/>
  <c r="BU523" i="2"/>
  <c r="BU522" i="2" s="1"/>
  <c r="BP522" i="2"/>
  <c r="Z527" i="2"/>
  <c r="Q526" i="2"/>
  <c r="Z526" i="2" s="1"/>
  <c r="BT528" i="2"/>
  <c r="BT527" i="2" s="1"/>
  <c r="V536" i="2"/>
  <c r="S535" i="2"/>
  <c r="J537" i="2"/>
  <c r="G535" i="2"/>
  <c r="I537" i="2"/>
  <c r="N540" i="2"/>
  <c r="N539" i="2" s="1"/>
  <c r="N512" i="2" s="1"/>
  <c r="AC539" i="2"/>
  <c r="AX540" i="2"/>
  <c r="AX539" i="2" s="1"/>
  <c r="AX512" i="2" s="1"/>
  <c r="BG539" i="2"/>
  <c r="BM539" i="2"/>
  <c r="BM512" i="2" s="1"/>
  <c r="BO541" i="2"/>
  <c r="Y543" i="2"/>
  <c r="P541" i="2"/>
  <c r="V546" i="2"/>
  <c r="S544" i="2"/>
  <c r="J547" i="2"/>
  <c r="I547" i="2"/>
  <c r="R554" i="2"/>
  <c r="BR556" i="2"/>
  <c r="BS564" i="2"/>
  <c r="BV564" i="2" s="1"/>
  <c r="BS567" i="2"/>
  <c r="BR566" i="2"/>
  <c r="BU568" i="2"/>
  <c r="W566" i="2"/>
  <c r="BR568" i="2"/>
  <c r="BS575" i="2"/>
  <c r="BV575" i="2" s="1"/>
  <c r="BN579" i="2"/>
  <c r="J587" i="2"/>
  <c r="I587" i="2"/>
  <c r="BU613" i="2"/>
  <c r="BO470" i="2"/>
  <c r="BO469" i="2" s="1"/>
  <c r="BO474" i="2"/>
  <c r="BP474" i="2" s="1"/>
  <c r="BO476" i="2"/>
  <c r="BO475" i="2" s="1"/>
  <c r="BO478" i="2"/>
  <c r="BO477" i="2" s="1"/>
  <c r="BO480" i="2"/>
  <c r="BO479" i="2" s="1"/>
  <c r="BO488" i="2"/>
  <c r="BO486" i="2" s="1"/>
  <c r="U489" i="2"/>
  <c r="BQ489" i="2" s="1"/>
  <c r="BS489" i="2" s="1"/>
  <c r="BV489" i="2" s="1"/>
  <c r="BO492" i="2"/>
  <c r="BO491" i="2" s="1"/>
  <c r="BO494" i="2"/>
  <c r="BO493" i="2" s="1"/>
  <c r="BO496" i="2"/>
  <c r="BO495" i="2" s="1"/>
  <c r="U497" i="2"/>
  <c r="BQ497" i="2" s="1"/>
  <c r="BS497" i="2" s="1"/>
  <c r="BV497" i="2" s="1"/>
  <c r="BW497" i="2" s="1"/>
  <c r="S498" i="2"/>
  <c r="S490" i="2" s="1"/>
  <c r="Z506" i="2"/>
  <c r="J509" i="2"/>
  <c r="G508" i="2"/>
  <c r="X509" i="2"/>
  <c r="I515" i="2"/>
  <c r="P515" i="2"/>
  <c r="AB513" i="2"/>
  <c r="AB512" i="2" s="1"/>
  <c r="AN513" i="2"/>
  <c r="AN512" i="2" s="1"/>
  <c r="I516" i="2"/>
  <c r="J516" i="2"/>
  <c r="T515" i="2"/>
  <c r="T514" i="2" s="1"/>
  <c r="BO516" i="2"/>
  <c r="BO515" i="2" s="1"/>
  <c r="BO514" i="2" s="1"/>
  <c r="P518" i="2"/>
  <c r="Y518" i="2" s="1"/>
  <c r="V522" i="2"/>
  <c r="V514" i="2" s="1"/>
  <c r="U530" i="2"/>
  <c r="BQ530" i="2" s="1"/>
  <c r="BS530" i="2" s="1"/>
  <c r="BV530" i="2" s="1"/>
  <c r="AD539" i="2"/>
  <c r="AD512" i="2" s="1"/>
  <c r="H539" i="2"/>
  <c r="H512" i="2" s="1"/>
  <c r="S540" i="2"/>
  <c r="AE540" i="2"/>
  <c r="AE539" i="2" s="1"/>
  <c r="AE512" i="2" s="1"/>
  <c r="AK540" i="2"/>
  <c r="AK539" i="2" s="1"/>
  <c r="AR540" i="2"/>
  <c r="AR539" i="2" s="1"/>
  <c r="BI540" i="2"/>
  <c r="BI539" i="2" s="1"/>
  <c r="BI512" i="2" s="1"/>
  <c r="J542" i="2"/>
  <c r="BT542" i="2"/>
  <c r="BT541" i="2" s="1"/>
  <c r="V541" i="2"/>
  <c r="O545" i="2"/>
  <c r="BU546" i="2"/>
  <c r="U550" i="2"/>
  <c r="BQ550" i="2" s="1"/>
  <c r="BS550" i="2" s="1"/>
  <c r="BV550" i="2" s="1"/>
  <c r="J551" i="2"/>
  <c r="I551" i="2"/>
  <c r="J558" i="2"/>
  <c r="I558" i="2"/>
  <c r="G555" i="2"/>
  <c r="BW564" i="2"/>
  <c r="I569" i="2"/>
  <c r="BO575" i="2"/>
  <c r="Z575" i="2"/>
  <c r="Q569" i="2"/>
  <c r="Z569" i="2" s="1"/>
  <c r="Y577" i="2"/>
  <c r="O579" i="2"/>
  <c r="X580" i="2"/>
  <c r="U580" i="2"/>
  <c r="BU583" i="2"/>
  <c r="W474" i="2"/>
  <c r="BR474" i="2" s="1"/>
  <c r="W488" i="2"/>
  <c r="BR488" i="2" s="1"/>
  <c r="W504" i="2"/>
  <c r="BR504" i="2" s="1"/>
  <c r="Z507" i="2"/>
  <c r="BU507" i="2"/>
  <c r="BU506" i="2" s="1"/>
  <c r="BO510" i="2"/>
  <c r="Z510" i="2"/>
  <c r="K515" i="2"/>
  <c r="K514" i="2" s="1"/>
  <c r="K513" i="2" s="1"/>
  <c r="U516" i="2"/>
  <c r="BU525" i="2"/>
  <c r="BU524" i="2" s="1"/>
  <c r="BP524" i="2"/>
  <c r="BU532" i="2"/>
  <c r="AF539" i="2"/>
  <c r="AF512" i="2" s="1"/>
  <c r="AL539" i="2"/>
  <c r="BJ539" i="2"/>
  <c r="BU553" i="2"/>
  <c r="BN560" i="2"/>
  <c r="BP560" i="2" s="1"/>
  <c r="X560" i="2"/>
  <c r="U560" i="2"/>
  <c r="BQ560" i="2" s="1"/>
  <c r="BS560" i="2" s="1"/>
  <c r="BV560" i="2" s="1"/>
  <c r="BP563" i="2"/>
  <c r="BT563" i="2"/>
  <c r="BT562" i="2" s="1"/>
  <c r="BN566" i="2"/>
  <c r="BP567" i="2"/>
  <c r="BP575" i="2"/>
  <c r="BP586" i="2"/>
  <c r="I620" i="2"/>
  <c r="J620" i="2"/>
  <c r="U503" i="2"/>
  <c r="V505" i="2"/>
  <c r="J507" i="2"/>
  <c r="W516" i="2"/>
  <c r="BN518" i="2"/>
  <c r="BP518" i="2"/>
  <c r="BP520" i="2"/>
  <c r="G522" i="2"/>
  <c r="I523" i="2"/>
  <c r="BN524" i="2"/>
  <c r="E526" i="2"/>
  <c r="E513" i="2" s="1"/>
  <c r="BO527" i="2"/>
  <c r="Y529" i="2"/>
  <c r="P527" i="2"/>
  <c r="BP530" i="2"/>
  <c r="BR534" i="2"/>
  <c r="BR533" i="2" s="1"/>
  <c r="BD539" i="2"/>
  <c r="BD512" i="2" s="1"/>
  <c r="U542" i="2"/>
  <c r="O542" i="2"/>
  <c r="AV541" i="2"/>
  <c r="AV540" i="2" s="1"/>
  <c r="AV539" i="2" s="1"/>
  <c r="AV512" i="2" s="1"/>
  <c r="AP539" i="2"/>
  <c r="Y549" i="2"/>
  <c r="P544" i="2"/>
  <c r="Y544" i="2" s="1"/>
  <c r="V555" i="2"/>
  <c r="O555" i="2"/>
  <c r="Z603" i="2"/>
  <c r="BO603" i="2"/>
  <c r="W603" i="2"/>
  <c r="BR603" i="2" s="1"/>
  <c r="Z504" i="2"/>
  <c r="O508" i="2"/>
  <c r="U509" i="2"/>
  <c r="BG512" i="2"/>
  <c r="Z515" i="2"/>
  <c r="Z516" i="2"/>
  <c r="X520" i="2"/>
  <c r="O518" i="2"/>
  <c r="X518" i="2" s="1"/>
  <c r="U520" i="2"/>
  <c r="BQ520" i="2" s="1"/>
  <c r="BS520" i="2" s="1"/>
  <c r="BV520" i="2" s="1"/>
  <c r="J523" i="2"/>
  <c r="V534" i="2"/>
  <c r="S533" i="2"/>
  <c r="R535" i="2"/>
  <c r="R526" i="2" s="1"/>
  <c r="Z538" i="2"/>
  <c r="BO538" i="2"/>
  <c r="BP538" i="2" s="1"/>
  <c r="AW540" i="2"/>
  <c r="AW539" i="2" s="1"/>
  <c r="AW512" i="2" s="1"/>
  <c r="AY540" i="2"/>
  <c r="AY539" i="2" s="1"/>
  <c r="AY512" i="2" s="1"/>
  <c r="BP543" i="2"/>
  <c r="R544" i="2"/>
  <c r="R737" i="2" s="1"/>
  <c r="M172" i="3" s="1"/>
  <c r="Z548" i="2"/>
  <c r="BO548" i="2"/>
  <c r="BP548" i="2" s="1"/>
  <c r="K551" i="2"/>
  <c r="X551" i="2" s="1"/>
  <c r="U552" i="2"/>
  <c r="AD554" i="2"/>
  <c r="AJ554" i="2"/>
  <c r="AJ539" i="2" s="1"/>
  <c r="AP554" i="2"/>
  <c r="AV554" i="2"/>
  <c r="BB554" i="2"/>
  <c r="BB539" i="2" s="1"/>
  <c r="BB512" i="2" s="1"/>
  <c r="BH554" i="2"/>
  <c r="BH539" i="2" s="1"/>
  <c r="BH512" i="2" s="1"/>
  <c r="P555" i="2"/>
  <c r="P562" i="2"/>
  <c r="Y562" i="2" s="1"/>
  <c r="V565" i="2"/>
  <c r="BT565" i="2" s="1"/>
  <c r="S562" i="2"/>
  <c r="S554" i="2" s="1"/>
  <c r="BU570" i="2"/>
  <c r="W501" i="2"/>
  <c r="BR501" i="2" s="1"/>
  <c r="BR498" i="2" s="1"/>
  <c r="W503" i="2"/>
  <c r="W517" i="2"/>
  <c r="BR517" i="2" s="1"/>
  <c r="BS517" i="2" s="1"/>
  <c r="BV517" i="2" s="1"/>
  <c r="U519" i="2"/>
  <c r="J520" i="2"/>
  <c r="W521" i="2"/>
  <c r="BR521" i="2" s="1"/>
  <c r="O522" i="2"/>
  <c r="X522" i="2" s="1"/>
  <c r="W523" i="2"/>
  <c r="O524" i="2"/>
  <c r="X524" i="2" s="1"/>
  <c r="W525" i="2"/>
  <c r="W528" i="2"/>
  <c r="U529" i="2"/>
  <c r="BQ529" i="2" s="1"/>
  <c r="J530" i="2"/>
  <c r="Z530" i="2"/>
  <c r="X532" i="2"/>
  <c r="J533" i="2"/>
  <c r="X534" i="2"/>
  <c r="X536" i="2"/>
  <c r="W537" i="2"/>
  <c r="W542" i="2"/>
  <c r="U543" i="2"/>
  <c r="BQ543" i="2" s="1"/>
  <c r="G544" i="2"/>
  <c r="Z545" i="2"/>
  <c r="X546" i="2"/>
  <c r="W547" i="2"/>
  <c r="BR547" i="2" s="1"/>
  <c r="U549" i="2"/>
  <c r="BQ549" i="2" s="1"/>
  <c r="BS549" i="2" s="1"/>
  <c r="BV549" i="2" s="1"/>
  <c r="BW549" i="2" s="1"/>
  <c r="J550" i="2"/>
  <c r="Z550" i="2"/>
  <c r="BN551" i="2"/>
  <c r="J552" i="2"/>
  <c r="Y552" i="2"/>
  <c r="E555" i="2"/>
  <c r="E554" i="2" s="1"/>
  <c r="E539" i="2" s="1"/>
  <c r="Q555" i="2"/>
  <c r="Y556" i="2"/>
  <c r="X557" i="2"/>
  <c r="W558" i="2"/>
  <c r="BR558" i="2" s="1"/>
  <c r="U559" i="2"/>
  <c r="BQ559" i="2" s="1"/>
  <c r="BS559" i="2" s="1"/>
  <c r="BV559" i="2" s="1"/>
  <c r="BW559" i="2" s="1"/>
  <c r="J560" i="2"/>
  <c r="Z560" i="2"/>
  <c r="U561" i="2"/>
  <c r="BQ561" i="2" s="1"/>
  <c r="BS561" i="2" s="1"/>
  <c r="BV561" i="2" s="1"/>
  <c r="BW561" i="2" s="1"/>
  <c r="O562" i="2"/>
  <c r="U563" i="2"/>
  <c r="G566" i="2"/>
  <c r="S566" i="2"/>
  <c r="Z567" i="2"/>
  <c r="BT567" i="2"/>
  <c r="BT566" i="2" s="1"/>
  <c r="BO569" i="2"/>
  <c r="BO554" i="2" s="1"/>
  <c r="N576" i="2"/>
  <c r="V581" i="2"/>
  <c r="BP582" i="2"/>
  <c r="BS586" i="2"/>
  <c r="BV586" i="2" s="1"/>
  <c r="I592" i="2"/>
  <c r="J592" i="2"/>
  <c r="X593" i="2"/>
  <c r="BW594" i="2"/>
  <c r="BU594" i="2"/>
  <c r="X601" i="2"/>
  <c r="BN601" i="2"/>
  <c r="U601" i="2"/>
  <c r="BQ601" i="2" s="1"/>
  <c r="BS601" i="2" s="1"/>
  <c r="BV601" i="2" s="1"/>
  <c r="BN603" i="2"/>
  <c r="BP603" i="2" s="1"/>
  <c r="U603" i="2"/>
  <c r="BQ603" i="2" s="1"/>
  <c r="BW606" i="2"/>
  <c r="BU606" i="2"/>
  <c r="J609" i="2"/>
  <c r="I609" i="2"/>
  <c r="BS626" i="2"/>
  <c r="BV626" i="2" s="1"/>
  <c r="U499" i="2"/>
  <c r="BN499" i="2"/>
  <c r="Z500" i="2"/>
  <c r="Q502" i="2"/>
  <c r="Z502" i="2" s="1"/>
  <c r="X504" i="2"/>
  <c r="W519" i="2"/>
  <c r="Q522" i="2"/>
  <c r="Z522" i="2" s="1"/>
  <c r="Q524" i="2"/>
  <c r="Z524" i="2" s="1"/>
  <c r="W529" i="2"/>
  <c r="BR529" i="2" s="1"/>
  <c r="BO530" i="2"/>
  <c r="U531" i="2"/>
  <c r="BQ531" i="2" s="1"/>
  <c r="BS531" i="2" s="1"/>
  <c r="BV531" i="2" s="1"/>
  <c r="BN531" i="2"/>
  <c r="BP531" i="2" s="1"/>
  <c r="W543" i="2"/>
  <c r="BR543" i="2" s="1"/>
  <c r="W549" i="2"/>
  <c r="BR549" i="2" s="1"/>
  <c r="BO550" i="2"/>
  <c r="BP550" i="2" s="1"/>
  <c r="U556" i="2"/>
  <c r="BN556" i="2"/>
  <c r="BT556" i="2"/>
  <c r="BT555" i="2" s="1"/>
  <c r="W559" i="2"/>
  <c r="BR559" i="2" s="1"/>
  <c r="W563" i="2"/>
  <c r="BN565" i="2"/>
  <c r="BP565" i="2" s="1"/>
  <c r="S569" i="2"/>
  <c r="V570" i="2"/>
  <c r="BN572" i="2"/>
  <c r="BP572" i="2" s="1"/>
  <c r="BO580" i="2"/>
  <c r="BO579" i="2" s="1"/>
  <c r="G581" i="2"/>
  <c r="Q581" i="2"/>
  <c r="Z581" i="2" s="1"/>
  <c r="U582" i="2"/>
  <c r="BS587" i="2"/>
  <c r="BV587" i="2" s="1"/>
  <c r="I588" i="2"/>
  <c r="J588" i="2"/>
  <c r="U594" i="2"/>
  <c r="BQ594" i="2" s="1"/>
  <c r="BS594" i="2" s="1"/>
  <c r="BV594" i="2" s="1"/>
  <c r="BS596" i="2"/>
  <c r="BV596" i="2" s="1"/>
  <c r="Z597" i="2"/>
  <c r="W597" i="2"/>
  <c r="BR597" i="2" s="1"/>
  <c r="BO597" i="2"/>
  <c r="BP597" i="2" s="1"/>
  <c r="O599" i="2"/>
  <c r="BU602" i="2"/>
  <c r="AM581" i="2"/>
  <c r="AM576" i="2" s="1"/>
  <c r="O605" i="2"/>
  <c r="X607" i="2"/>
  <c r="BN607" i="2"/>
  <c r="BP607" i="2" s="1"/>
  <c r="U607" i="2"/>
  <c r="BQ607" i="2" s="1"/>
  <c r="BN612" i="2"/>
  <c r="BP612" i="2" s="1"/>
  <c r="X612" i="2"/>
  <c r="U612" i="2"/>
  <c r="BQ612" i="2" s="1"/>
  <c r="BS612" i="2" s="1"/>
  <c r="BV612" i="2" s="1"/>
  <c r="BW618" i="2"/>
  <c r="BU618" i="2"/>
  <c r="Z662" i="2"/>
  <c r="U532" i="2"/>
  <c r="BQ532" i="2" s="1"/>
  <c r="BS532" i="2" s="1"/>
  <c r="BV532" i="2" s="1"/>
  <c r="U534" i="2"/>
  <c r="BN534" i="2"/>
  <c r="U536" i="2"/>
  <c r="BN536" i="2"/>
  <c r="W545" i="2"/>
  <c r="BO545" i="2"/>
  <c r="U546" i="2"/>
  <c r="BQ546" i="2" s="1"/>
  <c r="BS546" i="2" s="1"/>
  <c r="BV546" i="2" s="1"/>
  <c r="BT552" i="2"/>
  <c r="BT551" i="2" s="1"/>
  <c r="U557" i="2"/>
  <c r="BQ557" i="2" s="1"/>
  <c r="BS557" i="2" s="1"/>
  <c r="BV557" i="2" s="1"/>
  <c r="BN557" i="2"/>
  <c r="BP557" i="2" s="1"/>
  <c r="U565" i="2"/>
  <c r="BQ565" i="2" s="1"/>
  <c r="BS565" i="2" s="1"/>
  <c r="BV565" i="2" s="1"/>
  <c r="Q576" i="2"/>
  <c r="Z576" i="2" s="1"/>
  <c r="J578" i="2"/>
  <c r="G577" i="2"/>
  <c r="W580" i="2"/>
  <c r="BT581" i="2"/>
  <c r="Z583" i="2"/>
  <c r="Z586" i="2"/>
  <c r="BO586" i="2"/>
  <c r="BO581" i="2" s="1"/>
  <c r="BO592" i="2"/>
  <c r="Z592" i="2"/>
  <c r="W592" i="2"/>
  <c r="BR592" i="2" s="1"/>
  <c r="J614" i="2"/>
  <c r="I614" i="2"/>
  <c r="BU629" i="2"/>
  <c r="Z639" i="2"/>
  <c r="BO639" i="2"/>
  <c r="BP639" i="2" s="1"/>
  <c r="W639" i="2"/>
  <c r="BR639" i="2" s="1"/>
  <c r="U521" i="2"/>
  <c r="BQ521" i="2" s="1"/>
  <c r="U523" i="2"/>
  <c r="U525" i="2"/>
  <c r="G526" i="2"/>
  <c r="I529" i="2"/>
  <c r="U537" i="2"/>
  <c r="BQ537" i="2" s="1"/>
  <c r="I543" i="2"/>
  <c r="I545" i="2"/>
  <c r="U547" i="2"/>
  <c r="BQ547" i="2" s="1"/>
  <c r="I549" i="2"/>
  <c r="W552" i="2"/>
  <c r="BO552" i="2"/>
  <c r="BO551" i="2" s="1"/>
  <c r="W553" i="2"/>
  <c r="BR553" i="2" s="1"/>
  <c r="BS553" i="2" s="1"/>
  <c r="BV553" i="2" s="1"/>
  <c r="BW553" i="2" s="1"/>
  <c r="U558" i="2"/>
  <c r="BQ558" i="2" s="1"/>
  <c r="BS558" i="2" s="1"/>
  <c r="BV558" i="2" s="1"/>
  <c r="BW558" i="2" s="1"/>
  <c r="I559" i="2"/>
  <c r="BU564" i="2"/>
  <c r="I568" i="2"/>
  <c r="U572" i="2"/>
  <c r="BQ572" i="2" s="1"/>
  <c r="Y574" i="2"/>
  <c r="I575" i="2"/>
  <c r="J575" i="2"/>
  <c r="T576" i="2"/>
  <c r="AO576" i="2"/>
  <c r="AO512" i="2" s="1"/>
  <c r="AU576" i="2"/>
  <c r="AU512" i="2" s="1"/>
  <c r="I578" i="2"/>
  <c r="Q579" i="2"/>
  <c r="Z579" i="2" s="1"/>
  <c r="J580" i="2"/>
  <c r="G579" i="2"/>
  <c r="Y584" i="2"/>
  <c r="P581" i="2"/>
  <c r="Y581" i="2" s="1"/>
  <c r="BP592" i="2"/>
  <c r="BU593" i="2"/>
  <c r="U593" i="2"/>
  <c r="BQ593" i="2" s="1"/>
  <c r="BS593" i="2" s="1"/>
  <c r="BV593" i="2" s="1"/>
  <c r="BW593" i="2" s="1"/>
  <c r="J603" i="2"/>
  <c r="I603" i="2"/>
  <c r="X604" i="2"/>
  <c r="BN604" i="2"/>
  <c r="U604" i="2"/>
  <c r="BQ604" i="2" s="1"/>
  <c r="X608" i="2"/>
  <c r="U608" i="2"/>
  <c r="BQ608" i="2" s="1"/>
  <c r="I615" i="2"/>
  <c r="J615" i="2"/>
  <c r="X622" i="2"/>
  <c r="BN622" i="2"/>
  <c r="BP622" i="2" s="1"/>
  <c r="U622" i="2"/>
  <c r="BQ622" i="2" s="1"/>
  <c r="BS622" i="2" s="1"/>
  <c r="BV622" i="2" s="1"/>
  <c r="U504" i="2"/>
  <c r="BQ504" i="2" s="1"/>
  <c r="BS504" i="2" s="1"/>
  <c r="BV504" i="2" s="1"/>
  <c r="O527" i="2"/>
  <c r="U538" i="2"/>
  <c r="BQ538" i="2" s="1"/>
  <c r="BS538" i="2" s="1"/>
  <c r="BV538" i="2" s="1"/>
  <c r="U548" i="2"/>
  <c r="BQ548" i="2" s="1"/>
  <c r="BS548" i="2" s="1"/>
  <c r="BV548" i="2" s="1"/>
  <c r="J563" i="2"/>
  <c r="W571" i="2"/>
  <c r="E576" i="2"/>
  <c r="BN577" i="2"/>
  <c r="BP578" i="2"/>
  <c r="V578" i="2"/>
  <c r="I580" i="2"/>
  <c r="U583" i="2"/>
  <c r="BQ583" i="2" s="1"/>
  <c r="BS583" i="2" s="1"/>
  <c r="BV583" i="2" s="1"/>
  <c r="BW583" i="2" s="1"/>
  <c r="X583" i="2"/>
  <c r="J586" i="2"/>
  <c r="Z588" i="2"/>
  <c r="W588" i="2"/>
  <c r="BR588" i="2" s="1"/>
  <c r="BO588" i="2"/>
  <c r="BP588" i="2" s="1"/>
  <c r="U590" i="2"/>
  <c r="BQ590" i="2" s="1"/>
  <c r="BS590" i="2" s="1"/>
  <c r="BV590" i="2" s="1"/>
  <c r="BW590" i="2" s="1"/>
  <c r="X590" i="2"/>
  <c r="I597" i="2"/>
  <c r="J597" i="2"/>
  <c r="BN608" i="2"/>
  <c r="BP608" i="2" s="1"/>
  <c r="W572" i="2"/>
  <c r="BR572" i="2" s="1"/>
  <c r="U574" i="2"/>
  <c r="BQ574" i="2" s="1"/>
  <c r="U578" i="2"/>
  <c r="W582" i="2"/>
  <c r="O589" i="2"/>
  <c r="BO589" i="2"/>
  <c r="BO591" i="2"/>
  <c r="Z591" i="2"/>
  <c r="X591" i="2"/>
  <c r="BO596" i="2"/>
  <c r="Z596" i="2"/>
  <c r="X596" i="2"/>
  <c r="O598" i="2"/>
  <c r="BO598" i="2"/>
  <c r="X600" i="2"/>
  <c r="BO601" i="2"/>
  <c r="BO604" i="2"/>
  <c r="BO607" i="2"/>
  <c r="BO610" i="2"/>
  <c r="Z610" i="2"/>
  <c r="X610" i="2"/>
  <c r="U611" i="2"/>
  <c r="BQ611" i="2" s="1"/>
  <c r="BS611" i="2" s="1"/>
  <c r="BV611" i="2" s="1"/>
  <c r="BW614" i="2"/>
  <c r="U617" i="2"/>
  <c r="BQ617" i="2" s="1"/>
  <c r="BS617" i="2" s="1"/>
  <c r="BV617" i="2" s="1"/>
  <c r="BW617" i="2" s="1"/>
  <c r="BO621" i="2"/>
  <c r="BP621" i="2" s="1"/>
  <c r="BO625" i="2"/>
  <c r="BP625" i="2" s="1"/>
  <c r="Z633" i="2"/>
  <c r="BO633" i="2"/>
  <c r="W574" i="2"/>
  <c r="BR574" i="2" s="1"/>
  <c r="W578" i="2"/>
  <c r="AJ581" i="2"/>
  <c r="AJ738" i="2" s="1"/>
  <c r="U584" i="2"/>
  <c r="BQ584" i="2" s="1"/>
  <c r="BS584" i="2" s="1"/>
  <c r="BV584" i="2" s="1"/>
  <c r="BN584" i="2"/>
  <c r="BP584" i="2" s="1"/>
  <c r="W587" i="2"/>
  <c r="BR587" i="2" s="1"/>
  <c r="BO587" i="2"/>
  <c r="BP587" i="2" s="1"/>
  <c r="W589" i="2"/>
  <c r="BR589" i="2" s="1"/>
  <c r="BN591" i="2"/>
  <c r="BN596" i="2"/>
  <c r="BP596" i="2" s="1"/>
  <c r="W598" i="2"/>
  <c r="BR598" i="2" s="1"/>
  <c r="W601" i="2"/>
  <c r="BR601" i="2" s="1"/>
  <c r="R603" i="2"/>
  <c r="R581" i="2" s="1"/>
  <c r="R576" i="2" s="1"/>
  <c r="BN610" i="2"/>
  <c r="W611" i="2"/>
  <c r="BR611" i="2" s="1"/>
  <c r="J613" i="2"/>
  <c r="U616" i="2"/>
  <c r="BQ616" i="2" s="1"/>
  <c r="BS616" i="2" s="1"/>
  <c r="BV616" i="2" s="1"/>
  <c r="BW623" i="2"/>
  <c r="Z624" i="2"/>
  <c r="Z626" i="2"/>
  <c r="BO626" i="2"/>
  <c r="BP626" i="2" s="1"/>
  <c r="I627" i="2"/>
  <c r="J627" i="2"/>
  <c r="W628" i="2"/>
  <c r="BR628" i="2" s="1"/>
  <c r="BP630" i="2"/>
  <c r="W630" i="2"/>
  <c r="BR630" i="2" s="1"/>
  <c r="BU638" i="2"/>
  <c r="BW638" i="2"/>
  <c r="J655" i="2"/>
  <c r="I655" i="2"/>
  <c r="J657" i="2"/>
  <c r="I657" i="2"/>
  <c r="U602" i="2"/>
  <c r="BQ602" i="2" s="1"/>
  <c r="BS602" i="2" s="1"/>
  <c r="BV602" i="2" s="1"/>
  <c r="BW602" i="2" s="1"/>
  <c r="W604" i="2"/>
  <c r="BR604" i="2" s="1"/>
  <c r="W607" i="2"/>
  <c r="BR607" i="2" s="1"/>
  <c r="U613" i="2"/>
  <c r="BQ613" i="2" s="1"/>
  <c r="BS613" i="2" s="1"/>
  <c r="BV613" i="2" s="1"/>
  <c r="BW613" i="2" s="1"/>
  <c r="Z618" i="2"/>
  <c r="Z632" i="2"/>
  <c r="W632" i="2"/>
  <c r="BR632" i="2" s="1"/>
  <c r="BO632" i="2"/>
  <c r="BP632" i="2" s="1"/>
  <c r="U646" i="2"/>
  <c r="BQ646" i="2" s="1"/>
  <c r="BS646" i="2" s="1"/>
  <c r="BV646" i="2" s="1"/>
  <c r="BT649" i="2"/>
  <c r="BT648" i="2" s="1"/>
  <c r="V648" i="2"/>
  <c r="Y653" i="2"/>
  <c r="P648" i="2"/>
  <c r="Y648" i="2" s="1"/>
  <c r="BU654" i="2"/>
  <c r="BN657" i="2"/>
  <c r="U600" i="2"/>
  <c r="BQ600" i="2" s="1"/>
  <c r="J611" i="2"/>
  <c r="BO615" i="2"/>
  <c r="BP615" i="2" s="1"/>
  <c r="Z615" i="2"/>
  <c r="BO620" i="2"/>
  <c r="BP620" i="2" s="1"/>
  <c r="Z620" i="2"/>
  <c r="J623" i="2"/>
  <c r="X628" i="2"/>
  <c r="BN628" i="2"/>
  <c r="BP628" i="2" s="1"/>
  <c r="U628" i="2"/>
  <c r="BQ628" i="2" s="1"/>
  <c r="BS628" i="2" s="1"/>
  <c r="BV628" i="2" s="1"/>
  <c r="U629" i="2"/>
  <c r="BQ629" i="2" s="1"/>
  <c r="BS629" i="2" s="1"/>
  <c r="BV629" i="2" s="1"/>
  <c r="BW629" i="2" s="1"/>
  <c r="BO630" i="2"/>
  <c r="BN631" i="2"/>
  <c r="X631" i="2"/>
  <c r="U631" i="2"/>
  <c r="BQ631" i="2" s="1"/>
  <c r="BS631" i="2" s="1"/>
  <c r="BV631" i="2" s="1"/>
  <c r="X633" i="2"/>
  <c r="BN633" i="2"/>
  <c r="BP633" i="2" s="1"/>
  <c r="U633" i="2"/>
  <c r="BQ633" i="2" s="1"/>
  <c r="I642" i="2"/>
  <c r="AP648" i="2"/>
  <c r="AP741" i="2" s="1"/>
  <c r="O650" i="2"/>
  <c r="AJ655" i="2"/>
  <c r="AJ745" i="2" s="1"/>
  <c r="O656" i="2"/>
  <c r="U656" i="2" s="1"/>
  <c r="R657" i="2"/>
  <c r="U568" i="2"/>
  <c r="BQ568" i="2" s="1"/>
  <c r="BS568" i="2" s="1"/>
  <c r="BV568" i="2" s="1"/>
  <c r="BW568" i="2" s="1"/>
  <c r="U570" i="2"/>
  <c r="U573" i="2"/>
  <c r="BQ573" i="2" s="1"/>
  <c r="BS573" i="2" s="1"/>
  <c r="BV573" i="2" s="1"/>
  <c r="BW573" i="2" s="1"/>
  <c r="W591" i="2"/>
  <c r="BR591" i="2" s="1"/>
  <c r="BS591" i="2" s="1"/>
  <c r="BV591" i="2" s="1"/>
  <c r="BS592" i="2"/>
  <c r="BV592" i="2" s="1"/>
  <c r="W596" i="2"/>
  <c r="BR596" i="2" s="1"/>
  <c r="W600" i="2"/>
  <c r="BR600" i="2" s="1"/>
  <c r="J606" i="2"/>
  <c r="W610" i="2"/>
  <c r="BR610" i="2" s="1"/>
  <c r="BS610" i="2" s="1"/>
  <c r="BV610" i="2" s="1"/>
  <c r="BO611" i="2"/>
  <c r="BP611" i="2" s="1"/>
  <c r="BN616" i="2"/>
  <c r="BP616" i="2" s="1"/>
  <c r="J617" i="2"/>
  <c r="J622" i="2"/>
  <c r="Z625" i="2"/>
  <c r="BW627" i="2"/>
  <c r="W633" i="2"/>
  <c r="BR633" i="2" s="1"/>
  <c r="K642" i="2"/>
  <c r="K740" i="2" s="1"/>
  <c r="I643" i="2"/>
  <c r="U595" i="2"/>
  <c r="BQ595" i="2" s="1"/>
  <c r="BS595" i="2" s="1"/>
  <c r="BV595" i="2" s="1"/>
  <c r="BW595" i="2" s="1"/>
  <c r="W608" i="2"/>
  <c r="BR608" i="2" s="1"/>
  <c r="U609" i="2"/>
  <c r="BQ609" i="2" s="1"/>
  <c r="BS609" i="2" s="1"/>
  <c r="BV609" i="2" s="1"/>
  <c r="BW609" i="2" s="1"/>
  <c r="U614" i="2"/>
  <c r="BQ614" i="2" s="1"/>
  <c r="BS614" i="2" s="1"/>
  <c r="BV614" i="2" s="1"/>
  <c r="U619" i="2"/>
  <c r="BQ619" i="2" s="1"/>
  <c r="BS619" i="2" s="1"/>
  <c r="BV619" i="2" s="1"/>
  <c r="BW619" i="2" s="1"/>
  <c r="BO631" i="2"/>
  <c r="Z631" i="2"/>
  <c r="BP634" i="2"/>
  <c r="BN641" i="2"/>
  <c r="O646" i="2"/>
  <c r="AP642" i="2"/>
  <c r="AP576" i="2" s="1"/>
  <c r="O647" i="2"/>
  <c r="Z650" i="2"/>
  <c r="W650" i="2"/>
  <c r="BR650" i="2" s="1"/>
  <c r="BR648" i="2" s="1"/>
  <c r="P655" i="2"/>
  <c r="Y655" i="2" s="1"/>
  <c r="Y656" i="2"/>
  <c r="BO658" i="2"/>
  <c r="Z658" i="2"/>
  <c r="W658" i="2"/>
  <c r="BU663" i="2"/>
  <c r="BN665" i="2"/>
  <c r="BU672" i="2"/>
  <c r="BU679" i="2"/>
  <c r="Z695" i="2"/>
  <c r="BO695" i="2"/>
  <c r="BP695" i="2" s="1"/>
  <c r="W695" i="2"/>
  <c r="BR695" i="2" s="1"/>
  <c r="Z696" i="2"/>
  <c r="BO696" i="2"/>
  <c r="BP696" i="2" s="1"/>
  <c r="W696" i="2"/>
  <c r="BR696" i="2" s="1"/>
  <c r="U588" i="2"/>
  <c r="BQ588" i="2" s="1"/>
  <c r="BS588" i="2" s="1"/>
  <c r="BV588" i="2" s="1"/>
  <c r="U597" i="2"/>
  <c r="BQ597" i="2" s="1"/>
  <c r="BS597" i="2" s="1"/>
  <c r="BV597" i="2" s="1"/>
  <c r="U606" i="2"/>
  <c r="BQ606" i="2" s="1"/>
  <c r="BS606" i="2" s="1"/>
  <c r="BV606" i="2" s="1"/>
  <c r="Z616" i="2"/>
  <c r="X618" i="2"/>
  <c r="U621" i="2"/>
  <c r="BQ621" i="2" s="1"/>
  <c r="BS621" i="2" s="1"/>
  <c r="BV621" i="2" s="1"/>
  <c r="Z622" i="2"/>
  <c r="X624" i="2"/>
  <c r="Z629" i="2"/>
  <c r="BN635" i="2"/>
  <c r="BP635" i="2" s="1"/>
  <c r="S642" i="2"/>
  <c r="S576" i="2" s="1"/>
  <c r="O643" i="2"/>
  <c r="BP644" i="2"/>
  <c r="BO645" i="2"/>
  <c r="BP645" i="2" s="1"/>
  <c r="Q642" i="2"/>
  <c r="Z642" i="2" s="1"/>
  <c r="BP652" i="2"/>
  <c r="X653" i="2"/>
  <c r="Q657" i="2"/>
  <c r="Z657" i="2" s="1"/>
  <c r="V658" i="2"/>
  <c r="S657" i="2"/>
  <c r="BN662" i="2"/>
  <c r="Z678" i="2"/>
  <c r="BO678" i="2"/>
  <c r="BP678" i="2" s="1"/>
  <c r="BP684" i="2"/>
  <c r="BW637" i="2"/>
  <c r="U641" i="2"/>
  <c r="BQ641" i="2" s="1"/>
  <c r="J650" i="2"/>
  <c r="I650" i="2"/>
  <c r="BU651" i="2"/>
  <c r="BW651" i="2"/>
  <c r="J660" i="2"/>
  <c r="I660" i="2"/>
  <c r="BO662" i="2"/>
  <c r="Z684" i="2"/>
  <c r="BO684" i="2"/>
  <c r="W684" i="2"/>
  <c r="BR684" i="2" s="1"/>
  <c r="U635" i="2"/>
  <c r="BQ635" i="2" s="1"/>
  <c r="BS635" i="2" s="1"/>
  <c r="BV635" i="2" s="1"/>
  <c r="J638" i="2"/>
  <c r="I639" i="2"/>
  <c r="BS639" i="2"/>
  <c r="BV639" i="2" s="1"/>
  <c r="BP640" i="2"/>
  <c r="J645" i="2"/>
  <c r="I645" i="2"/>
  <c r="U647" i="2"/>
  <c r="BQ647" i="2" s="1"/>
  <c r="BS647" i="2" s="1"/>
  <c r="BV647" i="2" s="1"/>
  <c r="J653" i="2"/>
  <c r="I653" i="2"/>
  <c r="BW653" i="2"/>
  <c r="J654" i="2"/>
  <c r="X654" i="2"/>
  <c r="U654" i="2"/>
  <c r="BQ654" i="2" s="1"/>
  <c r="BS654" i="2" s="1"/>
  <c r="BV654" i="2" s="1"/>
  <c r="BW654" i="2" s="1"/>
  <c r="BS660" i="2"/>
  <c r="BV660" i="2" s="1"/>
  <c r="G662" i="2"/>
  <c r="I663" i="2"/>
  <c r="Z664" i="2"/>
  <c r="BO664" i="2"/>
  <c r="BP664" i="2" s="1"/>
  <c r="W664" i="2"/>
  <c r="BU683" i="2"/>
  <c r="BU699" i="2"/>
  <c r="U618" i="2"/>
  <c r="BQ618" i="2" s="1"/>
  <c r="BS618" i="2" s="1"/>
  <c r="BV618" i="2" s="1"/>
  <c r="U624" i="2"/>
  <c r="BQ624" i="2" s="1"/>
  <c r="BS624" i="2" s="1"/>
  <c r="BV624" i="2" s="1"/>
  <c r="BW624" i="2" s="1"/>
  <c r="BP636" i="2"/>
  <c r="U638" i="2"/>
  <c r="BQ638" i="2" s="1"/>
  <c r="BS638" i="2" s="1"/>
  <c r="BV638" i="2" s="1"/>
  <c r="Z641" i="2"/>
  <c r="BO641" i="2"/>
  <c r="W641" i="2"/>
  <c r="BR641" i="2" s="1"/>
  <c r="K648" i="2"/>
  <c r="G648" i="2"/>
  <c r="J649" i="2"/>
  <c r="S648" i="2"/>
  <c r="BO648" i="2"/>
  <c r="P657" i="2"/>
  <c r="Y657" i="2" s="1"/>
  <c r="Y659" i="2"/>
  <c r="J663" i="2"/>
  <c r="BV668" i="2"/>
  <c r="I671" i="2"/>
  <c r="G670" i="2"/>
  <c r="J671" i="2"/>
  <c r="BU709" i="2"/>
  <c r="BW709" i="2"/>
  <c r="U625" i="2"/>
  <c r="BQ625" i="2" s="1"/>
  <c r="BS625" i="2" s="1"/>
  <c r="BV625" i="2" s="1"/>
  <c r="U630" i="2"/>
  <c r="BQ630" i="2" s="1"/>
  <c r="BS630" i="2" s="1"/>
  <c r="BV630" i="2" s="1"/>
  <c r="U636" i="2"/>
  <c r="BQ636" i="2" s="1"/>
  <c r="BS636" i="2" s="1"/>
  <c r="BV636" i="2" s="1"/>
  <c r="U640" i="2"/>
  <c r="BQ640" i="2" s="1"/>
  <c r="BS640" i="2" s="1"/>
  <c r="BV640" i="2" s="1"/>
  <c r="P642" i="2"/>
  <c r="Y642" i="2" s="1"/>
  <c r="Y643" i="2"/>
  <c r="V642" i="2"/>
  <c r="U651" i="2"/>
  <c r="BQ651" i="2" s="1"/>
  <c r="BS651" i="2" s="1"/>
  <c r="BV651" i="2" s="1"/>
  <c r="BP659" i="2"/>
  <c r="H661" i="2"/>
  <c r="J668" i="2"/>
  <c r="G667" i="2"/>
  <c r="I668" i="2"/>
  <c r="BW675" i="2"/>
  <c r="BP703" i="2"/>
  <c r="BN702" i="2"/>
  <c r="U632" i="2"/>
  <c r="BQ632" i="2" s="1"/>
  <c r="BS632" i="2" s="1"/>
  <c r="BV632" i="2" s="1"/>
  <c r="R642" i="2"/>
  <c r="BT642" i="2"/>
  <c r="O657" i="2"/>
  <c r="X657" i="2" s="1"/>
  <c r="Z660" i="2"/>
  <c r="BO660" i="2"/>
  <c r="BP660" i="2" s="1"/>
  <c r="V663" i="2"/>
  <c r="S662" i="2"/>
  <c r="G665" i="2"/>
  <c r="J666" i="2"/>
  <c r="I666" i="2"/>
  <c r="BP669" i="2"/>
  <c r="BT670" i="2"/>
  <c r="Y679" i="2"/>
  <c r="P670" i="2"/>
  <c r="BN685" i="2"/>
  <c r="BP686" i="2"/>
  <c r="BU697" i="2"/>
  <c r="Z700" i="2"/>
  <c r="W700" i="2"/>
  <c r="BR700" i="2" s="1"/>
  <c r="BS700" i="2" s="1"/>
  <c r="BV700" i="2" s="1"/>
  <c r="BO700" i="2"/>
  <c r="BN667" i="2"/>
  <c r="BO669" i="2"/>
  <c r="Q667" i="2"/>
  <c r="Z667" i="2" s="1"/>
  <c r="Z669" i="2"/>
  <c r="W669" i="2"/>
  <c r="BR671" i="2"/>
  <c r="BP671" i="2"/>
  <c r="BW673" i="2"/>
  <c r="J682" i="2"/>
  <c r="I682" i="2"/>
  <c r="Y690" i="2"/>
  <c r="X691" i="2"/>
  <c r="O690" i="2"/>
  <c r="BN691" i="2"/>
  <c r="U691" i="2"/>
  <c r="J693" i="2"/>
  <c r="I693" i="2"/>
  <c r="G690" i="2"/>
  <c r="V705" i="2"/>
  <c r="S704" i="2"/>
  <c r="U658" i="2"/>
  <c r="AL661" i="2"/>
  <c r="AL512" i="2" s="1"/>
  <c r="BD661" i="2"/>
  <c r="BJ661" i="2"/>
  <c r="BJ512" i="2" s="1"/>
  <c r="Z666" i="2"/>
  <c r="BO666" i="2"/>
  <c r="BO665" i="2" s="1"/>
  <c r="V668" i="2"/>
  <c r="S667" i="2"/>
  <c r="S746" i="2" s="1"/>
  <c r="L181" i="3" s="1"/>
  <c r="N181" i="3" s="1"/>
  <c r="X674" i="2"/>
  <c r="BN674" i="2"/>
  <c r="BP674" i="2" s="1"/>
  <c r="U674" i="2"/>
  <c r="BQ674" i="2" s="1"/>
  <c r="BS674" i="2" s="1"/>
  <c r="BV674" i="2" s="1"/>
  <c r="I677" i="2"/>
  <c r="J677" i="2"/>
  <c r="AE661" i="2"/>
  <c r="AK661" i="2"/>
  <c r="AQ661" i="2"/>
  <c r="AQ512" i="2" s="1"/>
  <c r="AW661" i="2"/>
  <c r="BC661" i="2"/>
  <c r="BC512" i="2" s="1"/>
  <c r="BI661" i="2"/>
  <c r="V686" i="2"/>
  <c r="S685" i="2"/>
  <c r="V690" i="2"/>
  <c r="V698" i="2"/>
  <c r="BT698" i="2" s="1"/>
  <c r="BT690" i="2" s="1"/>
  <c r="S690" i="2"/>
  <c r="S689" i="2" s="1"/>
  <c r="O662" i="2"/>
  <c r="V666" i="2"/>
  <c r="Z668" i="2"/>
  <c r="BO668" i="2"/>
  <c r="BO667" i="2" s="1"/>
  <c r="Z671" i="2"/>
  <c r="W672" i="2"/>
  <c r="BR672" i="2" s="1"/>
  <c r="BN676" i="2"/>
  <c r="Z677" i="2"/>
  <c r="U679" i="2"/>
  <c r="BQ679" i="2" s="1"/>
  <c r="BS679" i="2" s="1"/>
  <c r="BV679" i="2" s="1"/>
  <c r="BW679" i="2" s="1"/>
  <c r="BN680" i="2"/>
  <c r="BP680" i="2" s="1"/>
  <c r="G685" i="2"/>
  <c r="U688" i="2"/>
  <c r="BQ688" i="2" s="1"/>
  <c r="BS688" i="2" s="1"/>
  <c r="BV688" i="2" s="1"/>
  <c r="U692" i="2"/>
  <c r="BQ692" i="2" s="1"/>
  <c r="BS692" i="2" s="1"/>
  <c r="BV692" i="2" s="1"/>
  <c r="BN698" i="2"/>
  <c r="BP698" i="2" s="1"/>
  <c r="U701" i="2"/>
  <c r="BQ701" i="2" s="1"/>
  <c r="BR703" i="2"/>
  <c r="BR702" i="2" s="1"/>
  <c r="W702" i="2"/>
  <c r="S670" i="2"/>
  <c r="L148" i="3" s="1"/>
  <c r="N148" i="3" s="1"/>
  <c r="U676" i="2"/>
  <c r="BQ676" i="2" s="1"/>
  <c r="BS676" i="2" s="1"/>
  <c r="BV676" i="2" s="1"/>
  <c r="U680" i="2"/>
  <c r="BQ680" i="2" s="1"/>
  <c r="BS680" i="2" s="1"/>
  <c r="BV680" i="2" s="1"/>
  <c r="AF689" i="2"/>
  <c r="AF661" i="2" s="1"/>
  <c r="AL689" i="2"/>
  <c r="AR689" i="2"/>
  <c r="AR661" i="2" s="1"/>
  <c r="AX689" i="2"/>
  <c r="AX661" i="2" s="1"/>
  <c r="BD689" i="2"/>
  <c r="W701" i="2"/>
  <c r="BR701" i="2" s="1"/>
  <c r="BP681" i="2"/>
  <c r="U682" i="2"/>
  <c r="BQ682" i="2" s="1"/>
  <c r="BS682" i="2" s="1"/>
  <c r="BV682" i="2" s="1"/>
  <c r="J683" i="2"/>
  <c r="U686" i="2"/>
  <c r="J687" i="2"/>
  <c r="Z688" i="2"/>
  <c r="BR691" i="2"/>
  <c r="U698" i="2"/>
  <c r="BQ698" i="2" s="1"/>
  <c r="BS698" i="2" s="1"/>
  <c r="BV698" i="2" s="1"/>
  <c r="J703" i="2"/>
  <c r="I703" i="2"/>
  <c r="W643" i="2"/>
  <c r="U644" i="2"/>
  <c r="BQ644" i="2" s="1"/>
  <c r="BS644" i="2" s="1"/>
  <c r="BV644" i="2" s="1"/>
  <c r="U649" i="2"/>
  <c r="U652" i="2"/>
  <c r="BQ652" i="2" s="1"/>
  <c r="BS652" i="2" s="1"/>
  <c r="BV652" i="2" s="1"/>
  <c r="W656" i="2"/>
  <c r="U659" i="2"/>
  <c r="BQ659" i="2" s="1"/>
  <c r="BS659" i="2" s="1"/>
  <c r="BV659" i="2" s="1"/>
  <c r="U663" i="2"/>
  <c r="J669" i="2"/>
  <c r="U672" i="2"/>
  <c r="BQ672" i="2" s="1"/>
  <c r="BS672" i="2" s="1"/>
  <c r="BV672" i="2" s="1"/>
  <c r="BW672" i="2" s="1"/>
  <c r="J673" i="2"/>
  <c r="Z674" i="2"/>
  <c r="BU675" i="2"/>
  <c r="Z676" i="2"/>
  <c r="BO676" i="2"/>
  <c r="BO670" i="2" s="1"/>
  <c r="P685" i="2"/>
  <c r="Y685" i="2" s="1"/>
  <c r="BN688" i="2"/>
  <c r="BP688" i="2" s="1"/>
  <c r="Z694" i="2"/>
  <c r="BO694" i="2"/>
  <c r="BP694" i="2" s="1"/>
  <c r="J695" i="2"/>
  <c r="I695" i="2"/>
  <c r="U697" i="2"/>
  <c r="BQ697" i="2" s="1"/>
  <c r="BS697" i="2" s="1"/>
  <c r="BV697" i="2" s="1"/>
  <c r="BW697" i="2" s="1"/>
  <c r="I700" i="2"/>
  <c r="BN701" i="2"/>
  <c r="BN704" i="2"/>
  <c r="BP705" i="2"/>
  <c r="F38" i="3"/>
  <c r="I707" i="2"/>
  <c r="U664" i="2"/>
  <c r="BQ664" i="2" s="1"/>
  <c r="U666" i="2"/>
  <c r="Q670" i="2"/>
  <c r="Z670" i="2" s="1"/>
  <c r="V672" i="2"/>
  <c r="BT672" i="2" s="1"/>
  <c r="U678" i="2"/>
  <c r="BQ678" i="2" s="1"/>
  <c r="BS678" i="2" s="1"/>
  <c r="BV678" i="2" s="1"/>
  <c r="Z682" i="2"/>
  <c r="BO682" i="2"/>
  <c r="BP682" i="2" s="1"/>
  <c r="U684" i="2"/>
  <c r="BQ684" i="2" s="1"/>
  <c r="W686" i="2"/>
  <c r="U696" i="2"/>
  <c r="BQ696" i="2" s="1"/>
  <c r="BS696" i="2" s="1"/>
  <c r="BV696" i="2" s="1"/>
  <c r="BO701" i="2"/>
  <c r="G702" i="2"/>
  <c r="O702" i="2"/>
  <c r="X702" i="2" s="1"/>
  <c r="X703" i="2"/>
  <c r="U703" i="2"/>
  <c r="X708" i="2"/>
  <c r="BN708" i="2"/>
  <c r="O707" i="2"/>
  <c r="U708" i="2"/>
  <c r="U669" i="2"/>
  <c r="U671" i="2"/>
  <c r="U677" i="2"/>
  <c r="BQ677" i="2" s="1"/>
  <c r="BS677" i="2" s="1"/>
  <c r="BV677" i="2" s="1"/>
  <c r="BW677" i="2" s="1"/>
  <c r="U683" i="2"/>
  <c r="BQ683" i="2" s="1"/>
  <c r="BS683" i="2" s="1"/>
  <c r="BV683" i="2" s="1"/>
  <c r="BW683" i="2" s="1"/>
  <c r="Q690" i="2"/>
  <c r="U695" i="2"/>
  <c r="BQ695" i="2" s="1"/>
  <c r="BS695" i="2" s="1"/>
  <c r="BV695" i="2" s="1"/>
  <c r="BN700" i="2"/>
  <c r="BP700" i="2" s="1"/>
  <c r="Q702" i="2"/>
  <c r="Z702" i="2" s="1"/>
  <c r="Q704" i="2"/>
  <c r="Z704" i="2" s="1"/>
  <c r="Q707" i="2"/>
  <c r="Z707" i="2" s="1"/>
  <c r="BO713" i="2"/>
  <c r="L64" i="3"/>
  <c r="L91" i="3"/>
  <c r="L67" i="3"/>
  <c r="U705" i="2"/>
  <c r="J709" i="2"/>
  <c r="X710" i="2"/>
  <c r="BN710" i="2"/>
  <c r="BP710" i="2" s="1"/>
  <c r="U710" i="2"/>
  <c r="BQ710" i="2" s="1"/>
  <c r="I712" i="2"/>
  <c r="X713" i="2"/>
  <c r="BN713" i="2"/>
  <c r="U713" i="2"/>
  <c r="BQ713" i="2" s="1"/>
  <c r="BT720" i="2"/>
  <c r="U675" i="2"/>
  <c r="BQ675" i="2" s="1"/>
  <c r="BS675" i="2" s="1"/>
  <c r="BV675" i="2" s="1"/>
  <c r="U681" i="2"/>
  <c r="BQ681" i="2" s="1"/>
  <c r="BS681" i="2" s="1"/>
  <c r="BV681" i="2" s="1"/>
  <c r="BO692" i="2"/>
  <c r="BO690" i="2" s="1"/>
  <c r="BO689" i="2" s="1"/>
  <c r="U693" i="2"/>
  <c r="BQ693" i="2" s="1"/>
  <c r="BS693" i="2" s="1"/>
  <c r="BV693" i="2" s="1"/>
  <c r="BW693" i="2" s="1"/>
  <c r="BO698" i="2"/>
  <c r="U699" i="2"/>
  <c r="BQ699" i="2" s="1"/>
  <c r="BS699" i="2" s="1"/>
  <c r="BV699" i="2" s="1"/>
  <c r="BW699" i="2" s="1"/>
  <c r="G707" i="2"/>
  <c r="BO708" i="2"/>
  <c r="BO707" i="2" s="1"/>
  <c r="W713" i="2"/>
  <c r="BR713" i="2" s="1"/>
  <c r="J714" i="2"/>
  <c r="L94" i="3"/>
  <c r="U694" i="2"/>
  <c r="BQ694" i="2" s="1"/>
  <c r="BS694" i="2" s="1"/>
  <c r="BV694" i="2" s="1"/>
  <c r="O704" i="2"/>
  <c r="X704" i="2" s="1"/>
  <c r="W705" i="2"/>
  <c r="V707" i="2"/>
  <c r="BO710" i="2"/>
  <c r="W710" i="2"/>
  <c r="BR710" i="2" s="1"/>
  <c r="BR707" i="2" s="1"/>
  <c r="Z710" i="2"/>
  <c r="BP712" i="2"/>
  <c r="BW714" i="2"/>
  <c r="M726" i="2"/>
  <c r="L92" i="3"/>
  <c r="L65" i="3"/>
  <c r="R707" i="2"/>
  <c r="BP711" i="2"/>
  <c r="AC728" i="2"/>
  <c r="AC730" i="2" s="1"/>
  <c r="AG731" i="2" s="1"/>
  <c r="U712" i="2"/>
  <c r="BQ712" i="2" s="1"/>
  <c r="BS712" i="2" s="1"/>
  <c r="BV712" i="2" s="1"/>
  <c r="P707" i="2"/>
  <c r="Y707" i="2" s="1"/>
  <c r="X712" i="2"/>
  <c r="U711" i="2"/>
  <c r="BQ711" i="2" s="1"/>
  <c r="BS711" i="2" s="1"/>
  <c r="BV711" i="2" s="1"/>
  <c r="N179" i="3" l="1"/>
  <c r="M174" i="3"/>
  <c r="N174" i="3"/>
  <c r="BM736" i="2"/>
  <c r="T5" i="2"/>
  <c r="T4" i="2" s="1"/>
  <c r="BV19" i="2"/>
  <c r="BT14" i="2"/>
  <c r="T14" i="2"/>
  <c r="BM10" i="2"/>
  <c r="BM9" i="2" s="1"/>
  <c r="BU660" i="2"/>
  <c r="BW660" i="2"/>
  <c r="BU626" i="2"/>
  <c r="BW626" i="2"/>
  <c r="BU173" i="2"/>
  <c r="BW173" i="2"/>
  <c r="BQ656" i="2"/>
  <c r="U655" i="2"/>
  <c r="BW625" i="2"/>
  <c r="BU625" i="2"/>
  <c r="BW550" i="2"/>
  <c r="BU550" i="2"/>
  <c r="AJ512" i="2"/>
  <c r="AR512" i="2"/>
  <c r="BU438" i="2"/>
  <c r="BW438" i="2"/>
  <c r="BW464" i="2"/>
  <c r="BU464" i="2"/>
  <c r="BU203" i="2"/>
  <c r="BU124" i="2"/>
  <c r="BW124" i="2"/>
  <c r="AI3" i="2"/>
  <c r="BU125" i="2"/>
  <c r="BW125" i="2"/>
  <c r="Z10" i="2"/>
  <c r="BW8" i="2"/>
  <c r="BU8" i="2"/>
  <c r="J743" i="2"/>
  <c r="O743" i="2"/>
  <c r="X108" i="2"/>
  <c r="J108" i="2"/>
  <c r="G718" i="2"/>
  <c r="M723" i="2"/>
  <c r="BU694" i="2"/>
  <c r="BW694" i="2"/>
  <c r="AP512" i="2"/>
  <c r="AK424" i="2"/>
  <c r="AK338" i="2" s="1"/>
  <c r="AK280" i="2" s="1"/>
  <c r="AK738" i="2"/>
  <c r="AK735" i="2" s="1"/>
  <c r="BU415" i="2"/>
  <c r="BW415" i="2"/>
  <c r="BU367" i="2"/>
  <c r="BW367" i="2"/>
  <c r="BU240" i="2"/>
  <c r="BW215" i="2"/>
  <c r="BU215" i="2"/>
  <c r="BU147" i="2"/>
  <c r="BU101" i="2"/>
  <c r="BW101" i="2"/>
  <c r="AU3" i="2"/>
  <c r="AU734" i="2" s="1"/>
  <c r="BW39" i="2"/>
  <c r="BU39" i="2"/>
  <c r="BU391" i="2"/>
  <c r="BW321" i="2"/>
  <c r="BU321" i="2"/>
  <c r="BU182" i="2"/>
  <c r="BW182" i="2"/>
  <c r="BU144" i="2"/>
  <c r="BW144" i="2"/>
  <c r="BW78" i="2"/>
  <c r="BU78" i="2"/>
  <c r="BW74" i="2"/>
  <c r="BU74" i="2"/>
  <c r="BU443" i="2"/>
  <c r="BW443" i="2"/>
  <c r="BU422" i="2"/>
  <c r="BW422" i="2"/>
  <c r="BW439" i="2"/>
  <c r="BU439" i="2"/>
  <c r="BU410" i="2"/>
  <c r="BU309" i="2"/>
  <c r="BW309" i="2"/>
  <c r="BW314" i="2"/>
  <c r="BU314" i="2"/>
  <c r="BU90" i="2"/>
  <c r="BW90" i="2"/>
  <c r="AO3" i="2"/>
  <c r="BW678" i="2"/>
  <c r="BU678" i="2"/>
  <c r="BW696" i="2"/>
  <c r="BU696" i="2"/>
  <c r="BW611" i="2"/>
  <c r="BU611" i="2"/>
  <c r="BW474" i="2"/>
  <c r="BU474" i="2"/>
  <c r="BU682" i="2"/>
  <c r="BW682" i="2"/>
  <c r="BW548" i="2"/>
  <c r="BU548" i="2"/>
  <c r="BW538" i="2"/>
  <c r="BU538" i="2"/>
  <c r="BU404" i="2"/>
  <c r="M735" i="2"/>
  <c r="AE735" i="2"/>
  <c r="BU88" i="2"/>
  <c r="BW88" i="2"/>
  <c r="BU178" i="2"/>
  <c r="BW178" i="2"/>
  <c r="BW81" i="2"/>
  <c r="BU81" i="2"/>
  <c r="BW63" i="2"/>
  <c r="BU63" i="2"/>
  <c r="BU413" i="2"/>
  <c r="BW413" i="2"/>
  <c r="BW442" i="2"/>
  <c r="BU442" i="2"/>
  <c r="M118" i="3"/>
  <c r="M145" i="3" s="1"/>
  <c r="BM280" i="2"/>
  <c r="BU343" i="2"/>
  <c r="BW343" i="2"/>
  <c r="BW434" i="2"/>
  <c r="BU434" i="2"/>
  <c r="BU301" i="2"/>
  <c r="BW301" i="2"/>
  <c r="BU251" i="2"/>
  <c r="BW251" i="2"/>
  <c r="G246" i="2"/>
  <c r="BG3" i="2"/>
  <c r="BU136" i="2"/>
  <c r="BW136" i="2"/>
  <c r="BU94" i="2"/>
  <c r="BW94" i="2"/>
  <c r="BW55" i="2"/>
  <c r="BU55" i="2"/>
  <c r="BW28" i="2"/>
  <c r="BU28" i="2"/>
  <c r="BU22" i="2"/>
  <c r="W704" i="2"/>
  <c r="BR705" i="2"/>
  <c r="BR704" i="2" s="1"/>
  <c r="J707" i="2"/>
  <c r="I38" i="3"/>
  <c r="X707" i="2"/>
  <c r="U648" i="2"/>
  <c r="BQ649" i="2"/>
  <c r="BU671" i="2"/>
  <c r="BW645" i="2"/>
  <c r="BU645" i="2"/>
  <c r="BR658" i="2"/>
  <c r="BR657" i="2" s="1"/>
  <c r="W657" i="2"/>
  <c r="BU596" i="2"/>
  <c r="BW596" i="2"/>
  <c r="BR582" i="2"/>
  <c r="BR581" i="2" s="1"/>
  <c r="W581" i="2"/>
  <c r="BQ487" i="2"/>
  <c r="U486" i="2"/>
  <c r="BQ494" i="2"/>
  <c r="U493" i="2"/>
  <c r="U452" i="2"/>
  <c r="U451" i="2" s="1"/>
  <c r="BQ453" i="2"/>
  <c r="J495" i="2"/>
  <c r="I495" i="2"/>
  <c r="X452" i="2"/>
  <c r="O451" i="2"/>
  <c r="U407" i="2"/>
  <c r="BQ408" i="2"/>
  <c r="G461" i="2"/>
  <c r="I462" i="2"/>
  <c r="J462" i="2"/>
  <c r="J426" i="2"/>
  <c r="I426" i="2"/>
  <c r="G425" i="2"/>
  <c r="BU377" i="2"/>
  <c r="BW377" i="2"/>
  <c r="P374" i="2"/>
  <c r="Y375" i="2"/>
  <c r="BN562" i="2"/>
  <c r="U426" i="2"/>
  <c r="BW398" i="2"/>
  <c r="BU398" i="2"/>
  <c r="BO457" i="2"/>
  <c r="BO739" i="2" s="1"/>
  <c r="BP458" i="2"/>
  <c r="BQ426" i="2"/>
  <c r="BR466" i="2"/>
  <c r="BR465" i="2" s="1"/>
  <c r="W465" i="2"/>
  <c r="BO455" i="2"/>
  <c r="BP456" i="2"/>
  <c r="Z417" i="2"/>
  <c r="Q416" i="2"/>
  <c r="Z416" i="2" s="1"/>
  <c r="W417" i="2"/>
  <c r="BO417" i="2"/>
  <c r="BO416" i="2" s="1"/>
  <c r="BW409" i="2"/>
  <c r="BU409" i="2"/>
  <c r="BU397" i="2"/>
  <c r="BW397" i="2"/>
  <c r="BO369" i="2"/>
  <c r="BP370" i="2"/>
  <c r="BP361" i="2"/>
  <c r="BP357" i="2"/>
  <c r="BN356" i="2"/>
  <c r="Z269" i="2"/>
  <c r="Q268" i="2"/>
  <c r="BO290" i="2"/>
  <c r="BO281" i="2" s="1"/>
  <c r="K280" i="2"/>
  <c r="F36" i="3" s="1"/>
  <c r="W372" i="2"/>
  <c r="BR373" i="2"/>
  <c r="BR372" i="2" s="1"/>
  <c r="I369" i="2"/>
  <c r="J369" i="2"/>
  <c r="BW355" i="2"/>
  <c r="BU355" i="2"/>
  <c r="BW329" i="2"/>
  <c r="BU329" i="2"/>
  <c r="BU297" i="2"/>
  <c r="BW297" i="2"/>
  <c r="BQ357" i="2"/>
  <c r="U356" i="2"/>
  <c r="BR326" i="2"/>
  <c r="BR325" i="2" s="1"/>
  <c r="W325" i="2"/>
  <c r="BW308" i="2"/>
  <c r="BU308" i="2"/>
  <c r="BR272" i="2"/>
  <c r="BR271" i="2" s="1"/>
  <c r="W271" i="2"/>
  <c r="BP264" i="2"/>
  <c r="BN263" i="2"/>
  <c r="BW376" i="2"/>
  <c r="BU376" i="2"/>
  <c r="O352" i="2"/>
  <c r="X353" i="2"/>
  <c r="BW333" i="2"/>
  <c r="BU333" i="2"/>
  <c r="BO315" i="2"/>
  <c r="BP316" i="2"/>
  <c r="BW304" i="2"/>
  <c r="BU304" i="2"/>
  <c r="BW296" i="2"/>
  <c r="BU296" i="2"/>
  <c r="BQ288" i="2"/>
  <c r="U287" i="2"/>
  <c r="BU448" i="2"/>
  <c r="BW448" i="2"/>
  <c r="BU386" i="2"/>
  <c r="BU381" i="2"/>
  <c r="BN331" i="2"/>
  <c r="BP332" i="2"/>
  <c r="BN323" i="2"/>
  <c r="BP324" i="2"/>
  <c r="BP270" i="2"/>
  <c r="BN269" i="2"/>
  <c r="BU319" i="2"/>
  <c r="BW319" i="2"/>
  <c r="BQ261" i="2"/>
  <c r="U260" i="2"/>
  <c r="O246" i="2"/>
  <c r="X246" i="2" s="1"/>
  <c r="X247" i="2"/>
  <c r="W171" i="2"/>
  <c r="BR172" i="2"/>
  <c r="BR171" i="2" s="1"/>
  <c r="BR167" i="2" s="1"/>
  <c r="U175" i="2"/>
  <c r="BQ176" i="2"/>
  <c r="BU311" i="2"/>
  <c r="BU310" i="2" s="1"/>
  <c r="BP310" i="2"/>
  <c r="J254" i="2"/>
  <c r="G253" i="2"/>
  <c r="I254" i="2"/>
  <c r="BW236" i="2"/>
  <c r="BU236" i="2"/>
  <c r="BU201" i="2"/>
  <c r="BS197" i="2"/>
  <c r="BV197" i="2" s="1"/>
  <c r="BW197" i="2" s="1"/>
  <c r="BW181" i="2"/>
  <c r="BU181" i="2"/>
  <c r="BR218" i="2"/>
  <c r="BR217" i="2" s="1"/>
  <c r="W217" i="2"/>
  <c r="X207" i="2"/>
  <c r="O204" i="2"/>
  <c r="X204" i="2" s="1"/>
  <c r="BU231" i="2"/>
  <c r="I209" i="2"/>
  <c r="J209" i="2"/>
  <c r="X174" i="2"/>
  <c r="BN174" i="2"/>
  <c r="BP174" i="2" s="1"/>
  <c r="P150" i="2"/>
  <c r="Y150" i="2" s="1"/>
  <c r="Y153" i="2"/>
  <c r="G216" i="2"/>
  <c r="I217" i="2"/>
  <c r="J217" i="2"/>
  <c r="BU192" i="2"/>
  <c r="G167" i="2"/>
  <c r="J168" i="2"/>
  <c r="I168" i="2"/>
  <c r="BQ159" i="2"/>
  <c r="U158" i="2"/>
  <c r="BT208" i="2"/>
  <c r="BT207" i="2" s="1"/>
  <c r="V207" i="2"/>
  <c r="V204" i="2" s="1"/>
  <c r="BP123" i="2"/>
  <c r="BN122" i="2"/>
  <c r="BW239" i="2"/>
  <c r="BU239" i="2"/>
  <c r="BW142" i="2"/>
  <c r="BU142" i="2"/>
  <c r="BW112" i="2"/>
  <c r="BU112" i="2"/>
  <c r="BR105" i="2"/>
  <c r="BR104" i="2" s="1"/>
  <c r="W104" i="2"/>
  <c r="BR152" i="2"/>
  <c r="BR151" i="2" s="1"/>
  <c r="W151" i="2"/>
  <c r="Z128" i="2"/>
  <c r="AN735" i="2"/>
  <c r="BQ169" i="2"/>
  <c r="U168" i="2"/>
  <c r="O739" i="2"/>
  <c r="X739" i="2" s="1"/>
  <c r="X151" i="2"/>
  <c r="O150" i="2"/>
  <c r="X150" i="2" s="1"/>
  <c r="X128" i="2"/>
  <c r="P744" i="2"/>
  <c r="Y744" i="2" s="1"/>
  <c r="Y113" i="2"/>
  <c r="BU91" i="2"/>
  <c r="BW91" i="2"/>
  <c r="BQ15" i="2"/>
  <c r="U14" i="2"/>
  <c r="AX3" i="2"/>
  <c r="H717" i="2"/>
  <c r="H3" i="2"/>
  <c r="BU164" i="2"/>
  <c r="BU163" i="2" s="1"/>
  <c r="BP163" i="2"/>
  <c r="BU145" i="2"/>
  <c r="BW145" i="2"/>
  <c r="BU103" i="2"/>
  <c r="BN128" i="2"/>
  <c r="X84" i="2"/>
  <c r="BN84" i="2"/>
  <c r="U84" i="2"/>
  <c r="BQ84" i="2" s="1"/>
  <c r="BS84" i="2" s="1"/>
  <c r="BV84" i="2" s="1"/>
  <c r="AN10" i="2"/>
  <c r="AN9" i="2" s="1"/>
  <c r="AN3" i="2" s="1"/>
  <c r="AN734" i="2" s="1"/>
  <c r="BW59" i="2"/>
  <c r="BU59" i="2"/>
  <c r="Z217" i="2"/>
  <c r="Q216" i="2"/>
  <c r="Z216" i="2" s="1"/>
  <c r="J84" i="2"/>
  <c r="P740" i="2"/>
  <c r="Y740" i="2" s="1"/>
  <c r="Y64" i="2"/>
  <c r="BG738" i="2"/>
  <c r="Y11" i="2"/>
  <c r="BB741" i="2"/>
  <c r="BB735" i="2" s="1"/>
  <c r="S747" i="2"/>
  <c r="L182" i="3" s="1"/>
  <c r="N182" i="3" s="1"/>
  <c r="P108" i="2"/>
  <c r="Y109" i="2"/>
  <c r="M177" i="3"/>
  <c r="W76" i="2"/>
  <c r="BT65" i="2"/>
  <c r="BT64" i="2" s="1"/>
  <c r="V64" i="2"/>
  <c r="V740" i="2" s="1"/>
  <c r="E736" i="2"/>
  <c r="E735" i="2" s="1"/>
  <c r="BW58" i="2"/>
  <c r="BU58" i="2"/>
  <c r="BN64" i="2"/>
  <c r="BU21" i="2"/>
  <c r="BW21" i="2"/>
  <c r="BT4" i="2"/>
  <c r="BS77" i="2"/>
  <c r="AV736" i="2"/>
  <c r="AV735" i="2" s="1"/>
  <c r="AD735" i="2"/>
  <c r="K743" i="2"/>
  <c r="I743" i="2" s="1"/>
  <c r="AH10" i="2"/>
  <c r="AH9" i="2" s="1"/>
  <c r="AH3" i="2" s="1"/>
  <c r="AH734" i="2" s="1"/>
  <c r="G738" i="2"/>
  <c r="J702" i="2"/>
  <c r="I702" i="2"/>
  <c r="BP692" i="2"/>
  <c r="J685" i="2"/>
  <c r="I685" i="2"/>
  <c r="BW640" i="2"/>
  <c r="BU640" i="2"/>
  <c r="BW633" i="2"/>
  <c r="BU633" i="2"/>
  <c r="BW530" i="2"/>
  <c r="BU530" i="2"/>
  <c r="BU480" i="2"/>
  <c r="BU479" i="2" s="1"/>
  <c r="BP479" i="2"/>
  <c r="U394" i="2"/>
  <c r="BQ395" i="2"/>
  <c r="BQ346" i="2"/>
  <c r="U345" i="2"/>
  <c r="BU218" i="2"/>
  <c r="BU217" i="2" s="1"/>
  <c r="BP217" i="2"/>
  <c r="BU712" i="2"/>
  <c r="BW712" i="2"/>
  <c r="W707" i="2"/>
  <c r="BN707" i="2"/>
  <c r="BP708" i="2"/>
  <c r="W690" i="2"/>
  <c r="W689" i="2" s="1"/>
  <c r="BU680" i="2"/>
  <c r="BW680" i="2"/>
  <c r="V670" i="2"/>
  <c r="I690" i="2"/>
  <c r="J690" i="2"/>
  <c r="G689" i="2"/>
  <c r="Y670" i="2"/>
  <c r="P661" i="2"/>
  <c r="Y661" i="2" s="1"/>
  <c r="G661" i="2"/>
  <c r="I662" i="2"/>
  <c r="J662" i="2"/>
  <c r="V657" i="2"/>
  <c r="BT658" i="2"/>
  <c r="BT657" i="2" s="1"/>
  <c r="BW644" i="2"/>
  <c r="BU644" i="2"/>
  <c r="BP666" i="2"/>
  <c r="W648" i="2"/>
  <c r="O648" i="2"/>
  <c r="X648" i="2" s="1"/>
  <c r="BN650" i="2"/>
  <c r="X650" i="2"/>
  <c r="U650" i="2"/>
  <c r="BQ650" i="2" s="1"/>
  <c r="BS650" i="2" s="1"/>
  <c r="BV650" i="2" s="1"/>
  <c r="BU620" i="2"/>
  <c r="BW620" i="2"/>
  <c r="BP591" i="2"/>
  <c r="AJ576" i="2"/>
  <c r="U577" i="2"/>
  <c r="BQ578" i="2"/>
  <c r="BU578" i="2"/>
  <c r="BU577" i="2" s="1"/>
  <c r="BP577" i="2"/>
  <c r="BS604" i="2"/>
  <c r="BV604" i="2" s="1"/>
  <c r="BS547" i="2"/>
  <c r="BV547" i="2" s="1"/>
  <c r="BW547" i="2" s="1"/>
  <c r="I526" i="2"/>
  <c r="K576" i="2"/>
  <c r="U533" i="2"/>
  <c r="BQ534" i="2"/>
  <c r="X605" i="2"/>
  <c r="BN605" i="2"/>
  <c r="BP605" i="2" s="1"/>
  <c r="U605" i="2"/>
  <c r="BQ605" i="2" s="1"/>
  <c r="BS605" i="2" s="1"/>
  <c r="BV605" i="2" s="1"/>
  <c r="W562" i="2"/>
  <c r="BR563" i="2"/>
  <c r="BR562" i="2" s="1"/>
  <c r="BP499" i="2"/>
  <c r="BN498" i="2"/>
  <c r="BP601" i="2"/>
  <c r="BQ563" i="2"/>
  <c r="U562" i="2"/>
  <c r="BR537" i="2"/>
  <c r="BR535" i="2" s="1"/>
  <c r="W535" i="2"/>
  <c r="BR523" i="2"/>
  <c r="BR522" i="2" s="1"/>
  <c r="W522" i="2"/>
  <c r="BR503" i="2"/>
  <c r="BR502" i="2" s="1"/>
  <c r="W502" i="2"/>
  <c r="BT534" i="2"/>
  <c r="BT533" i="2" s="1"/>
  <c r="V533" i="2"/>
  <c r="BN542" i="2"/>
  <c r="O541" i="2"/>
  <c r="X542" i="2"/>
  <c r="Y527" i="2"/>
  <c r="P526" i="2"/>
  <c r="Y526" i="2" s="1"/>
  <c r="I522" i="2"/>
  <c r="J522" i="2"/>
  <c r="BP562" i="2"/>
  <c r="BU563" i="2"/>
  <c r="BP552" i="2"/>
  <c r="K540" i="2"/>
  <c r="K539" i="2" s="1"/>
  <c r="U579" i="2"/>
  <c r="BQ580" i="2"/>
  <c r="J555" i="2"/>
  <c r="I555" i="2"/>
  <c r="G554" i="2"/>
  <c r="S539" i="2"/>
  <c r="BW521" i="2"/>
  <c r="BO490" i="2"/>
  <c r="I535" i="2"/>
  <c r="J535" i="2"/>
  <c r="G505" i="2"/>
  <c r="I506" i="2"/>
  <c r="J506" i="2"/>
  <c r="J486" i="2"/>
  <c r="I486" i="2"/>
  <c r="BS488" i="2"/>
  <c r="BV488" i="2" s="1"/>
  <c r="U462" i="2"/>
  <c r="BQ463" i="2"/>
  <c r="S450" i="2"/>
  <c r="BP468" i="2"/>
  <c r="BS510" i="2"/>
  <c r="BV510" i="2" s="1"/>
  <c r="BQ492" i="2"/>
  <c r="U491" i="2"/>
  <c r="BS474" i="2"/>
  <c r="BV474" i="2" s="1"/>
  <c r="BP449" i="2"/>
  <c r="BW429" i="2"/>
  <c r="BU429" i="2"/>
  <c r="BN416" i="2"/>
  <c r="BP417" i="2"/>
  <c r="BS406" i="2"/>
  <c r="BV406" i="2" s="1"/>
  <c r="BR508" i="2"/>
  <c r="W467" i="2"/>
  <c r="BR468" i="2"/>
  <c r="BR467" i="2" s="1"/>
  <c r="BS446" i="2"/>
  <c r="BV446" i="2" s="1"/>
  <c r="Y417" i="2"/>
  <c r="P416" i="2"/>
  <c r="Y416" i="2" s="1"/>
  <c r="BO396" i="2"/>
  <c r="BP396" i="2" s="1"/>
  <c r="Z396" i="2"/>
  <c r="I436" i="2"/>
  <c r="J436" i="2"/>
  <c r="P426" i="2"/>
  <c r="Y427" i="2"/>
  <c r="W420" i="2"/>
  <c r="BS344" i="2"/>
  <c r="BV344" i="2" s="1"/>
  <c r="BW344" i="2" s="1"/>
  <c r="BP488" i="2"/>
  <c r="BS385" i="2"/>
  <c r="BV385" i="2" s="1"/>
  <c r="BW385" i="2" s="1"/>
  <c r="AX371" i="2"/>
  <c r="AX338" i="2" s="1"/>
  <c r="AX280" i="2" s="1"/>
  <c r="J475" i="2"/>
  <c r="G451" i="2"/>
  <c r="I452" i="2"/>
  <c r="J452" i="2"/>
  <c r="J416" i="2"/>
  <c r="I416" i="2"/>
  <c r="BW389" i="2"/>
  <c r="BU389" i="2"/>
  <c r="BP373" i="2"/>
  <c r="BN372" i="2"/>
  <c r="BP419" i="2"/>
  <c r="W407" i="2"/>
  <c r="BU437" i="2"/>
  <c r="BP436" i="2"/>
  <c r="BP387" i="2"/>
  <c r="BR370" i="2"/>
  <c r="BR369" i="2" s="1"/>
  <c r="W369" i="2"/>
  <c r="BP395" i="2"/>
  <c r="BP354" i="2"/>
  <c r="BN353" i="2"/>
  <c r="BN352" i="2" s="1"/>
  <c r="BS302" i="2"/>
  <c r="BV302" i="2" s="1"/>
  <c r="Y260" i="2"/>
  <c r="N371" i="2"/>
  <c r="N338" i="2" s="1"/>
  <c r="BU368" i="2"/>
  <c r="BW368" i="2"/>
  <c r="I345" i="2"/>
  <c r="G339" i="2"/>
  <c r="J345" i="2"/>
  <c r="BT318" i="2"/>
  <c r="BT315" i="2" s="1"/>
  <c r="BT281" i="2" s="1"/>
  <c r="V315" i="2"/>
  <c r="V741" i="2" s="1"/>
  <c r="U310" i="2"/>
  <c r="BQ311" i="2"/>
  <c r="BR341" i="2"/>
  <c r="BR340" i="2" s="1"/>
  <c r="W340" i="2"/>
  <c r="BQ335" i="2"/>
  <c r="U334" i="2"/>
  <c r="BR324" i="2"/>
  <c r="BR323" i="2" s="1"/>
  <c r="W323" i="2"/>
  <c r="BP305" i="2"/>
  <c r="BP277" i="2"/>
  <c r="W269" i="2"/>
  <c r="W268" i="2" s="1"/>
  <c r="BR270" i="2"/>
  <c r="BR269" i="2" s="1"/>
  <c r="BQ264" i="2"/>
  <c r="U263" i="2"/>
  <c r="BR256" i="2"/>
  <c r="BR255" i="2" s="1"/>
  <c r="BR246" i="2" s="1"/>
  <c r="W255" i="2"/>
  <c r="V374" i="2"/>
  <c r="BO345" i="2"/>
  <c r="BO339" i="2" s="1"/>
  <c r="BP346" i="2"/>
  <c r="BR316" i="2"/>
  <c r="BR315" i="2" s="1"/>
  <c r="W315" i="2"/>
  <c r="BW286" i="2"/>
  <c r="BU286" i="2"/>
  <c r="BU385" i="2"/>
  <c r="U336" i="2"/>
  <c r="BQ337" i="2"/>
  <c r="BQ332" i="2"/>
  <c r="U331" i="2"/>
  <c r="BQ324" i="2"/>
  <c r="U323" i="2"/>
  <c r="J282" i="2"/>
  <c r="I282" i="2"/>
  <c r="G281" i="2"/>
  <c r="BQ270" i="2"/>
  <c r="U269" i="2"/>
  <c r="U268" i="2" s="1"/>
  <c r="J268" i="2"/>
  <c r="I268" i="2"/>
  <c r="X260" i="2"/>
  <c r="BS203" i="2"/>
  <c r="BV203" i="2" s="1"/>
  <c r="BW203" i="2" s="1"/>
  <c r="BS224" i="2"/>
  <c r="BV224" i="2" s="1"/>
  <c r="F737" i="2"/>
  <c r="F735" i="2" s="1"/>
  <c r="Q739" i="2"/>
  <c r="Z739" i="2" s="1"/>
  <c r="BS192" i="2"/>
  <c r="BV192" i="2" s="1"/>
  <c r="BW192" i="2" s="1"/>
  <c r="BW289" i="2"/>
  <c r="BU289" i="2"/>
  <c r="BE280" i="2"/>
  <c r="BE3" i="2" s="1"/>
  <c r="BW222" i="2"/>
  <c r="BU222" i="2"/>
  <c r="BS201" i="2"/>
  <c r="BV201" i="2" s="1"/>
  <c r="BW201" i="2" s="1"/>
  <c r="V195" i="2"/>
  <c r="BU252" i="2"/>
  <c r="BW252" i="2"/>
  <c r="BW243" i="2"/>
  <c r="BU243" i="2"/>
  <c r="BR238" i="2"/>
  <c r="BR237" i="2" s="1"/>
  <c r="W237" i="2"/>
  <c r="BS225" i="2"/>
  <c r="BV225" i="2" s="1"/>
  <c r="BW225" i="2" s="1"/>
  <c r="BR206" i="2"/>
  <c r="BR205" i="2" s="1"/>
  <c r="BR204" i="2" s="1"/>
  <c r="W205" i="2"/>
  <c r="BW170" i="2"/>
  <c r="BU170" i="2"/>
  <c r="BR159" i="2"/>
  <c r="BR158" i="2" s="1"/>
  <c r="W158" i="2"/>
  <c r="BS126" i="2"/>
  <c r="BV126" i="2" s="1"/>
  <c r="BW126" i="2" s="1"/>
  <c r="BW226" i="2"/>
  <c r="BU226" i="2"/>
  <c r="BN217" i="2"/>
  <c r="BN216" i="2" s="1"/>
  <c r="BQ172" i="2"/>
  <c r="O747" i="2"/>
  <c r="X747" i="2" s="1"/>
  <c r="X122" i="2"/>
  <c r="W209" i="2"/>
  <c r="W153" i="2"/>
  <c r="BR154" i="2"/>
  <c r="BR153" i="2" s="1"/>
  <c r="BJ747" i="2"/>
  <c r="BW241" i="2"/>
  <c r="BU241" i="2"/>
  <c r="BR149" i="2"/>
  <c r="BR148" i="2" s="1"/>
  <c r="BR747" i="2" s="1"/>
  <c r="W148" i="2"/>
  <c r="BW135" i="2"/>
  <c r="BU135" i="2"/>
  <c r="BQ123" i="2"/>
  <c r="U122" i="2"/>
  <c r="BW115" i="2"/>
  <c r="BU115" i="2"/>
  <c r="BP337" i="2"/>
  <c r="BR312" i="2"/>
  <c r="BS112" i="2"/>
  <c r="BV112" i="2" s="1"/>
  <c r="BW102" i="2"/>
  <c r="BU102" i="2"/>
  <c r="BN209" i="2"/>
  <c r="BS147" i="2"/>
  <c r="BV147" i="2" s="1"/>
  <c r="BW147" i="2" s="1"/>
  <c r="BN96" i="2"/>
  <c r="BP96" i="2" s="1"/>
  <c r="X96" i="2"/>
  <c r="AX738" i="2"/>
  <c r="AX735" i="2" s="1"/>
  <c r="AH735" i="2"/>
  <c r="AG3" i="2"/>
  <c r="BS116" i="2"/>
  <c r="BV116" i="2" s="1"/>
  <c r="BW116" i="2" s="1"/>
  <c r="BO171" i="2"/>
  <c r="BN151" i="2"/>
  <c r="BP152" i="2"/>
  <c r="BQ119" i="2"/>
  <c r="U118" i="2"/>
  <c r="O742" i="2"/>
  <c r="X742" i="2" s="1"/>
  <c r="X104" i="2"/>
  <c r="BW80" i="2"/>
  <c r="BU80" i="2"/>
  <c r="AM736" i="2"/>
  <c r="AR3" i="2"/>
  <c r="AR734" i="2" s="1"/>
  <c r="U96" i="2"/>
  <c r="BQ96" i="2" s="1"/>
  <c r="BS96" i="2" s="1"/>
  <c r="BV96" i="2" s="1"/>
  <c r="BW53" i="2"/>
  <c r="BU53" i="2"/>
  <c r="BM740" i="2"/>
  <c r="AB3" i="2"/>
  <c r="M719" i="2"/>
  <c r="G728" i="2" s="1"/>
  <c r="M3" i="2"/>
  <c r="BS156" i="2"/>
  <c r="BQ155" i="2"/>
  <c r="BT143" i="2"/>
  <c r="BT137" i="2" s="1"/>
  <c r="V137" i="2"/>
  <c r="V746" i="2" s="1"/>
  <c r="G741" i="2"/>
  <c r="I76" i="2"/>
  <c r="BW25" i="2"/>
  <c r="BU25" i="2"/>
  <c r="BW19" i="2"/>
  <c r="BU19" i="2"/>
  <c r="Z14" i="2"/>
  <c r="BW48" i="2"/>
  <c r="BU48" i="2"/>
  <c r="J171" i="2"/>
  <c r="I171" i="2"/>
  <c r="I155" i="2"/>
  <c r="J155" i="2"/>
  <c r="BU139" i="2"/>
  <c r="BW139" i="2"/>
  <c r="V122" i="2"/>
  <c r="BT123" i="2"/>
  <c r="BT122" i="2" s="1"/>
  <c r="G744" i="2"/>
  <c r="J113" i="2"/>
  <c r="I113" i="2"/>
  <c r="BS103" i="2"/>
  <c r="BV103" i="2" s="1"/>
  <c r="BW103" i="2" s="1"/>
  <c r="K741" i="2"/>
  <c r="BD740" i="2"/>
  <c r="BD735" i="2" s="1"/>
  <c r="BR15" i="2"/>
  <c r="BR14" i="2" s="1"/>
  <c r="W14" i="2"/>
  <c r="BI9" i="2"/>
  <c r="BI3" i="2" s="1"/>
  <c r="BI734" i="2" s="1"/>
  <c r="AO735" i="2"/>
  <c r="Y217" i="2"/>
  <c r="P216" i="2"/>
  <c r="Y216" i="2" s="1"/>
  <c r="BP129" i="2"/>
  <c r="T741" i="2"/>
  <c r="M176" i="3" s="1"/>
  <c r="BN5" i="2"/>
  <c r="F10" i="2"/>
  <c r="F9" i="2" s="1"/>
  <c r="F3" i="2" s="1"/>
  <c r="F734" i="2" s="1"/>
  <c r="V4" i="2"/>
  <c r="AP740" i="2"/>
  <c r="BW35" i="2"/>
  <c r="BU35" i="2"/>
  <c r="AP3" i="2"/>
  <c r="AP734" i="2" s="1"/>
  <c r="F717" i="2"/>
  <c r="BB10" i="2"/>
  <c r="BB9" i="2" s="1"/>
  <c r="BB3" i="2" s="1"/>
  <c r="BB734" i="2" s="1"/>
  <c r="BO576" i="2"/>
  <c r="J566" i="2"/>
  <c r="I566" i="2"/>
  <c r="I508" i="2"/>
  <c r="J508" i="2"/>
  <c r="W506" i="2"/>
  <c r="W505" i="2" s="1"/>
  <c r="BR507" i="2"/>
  <c r="BU501" i="2"/>
  <c r="BU440" i="2"/>
  <c r="BW440" i="2"/>
  <c r="BS710" i="2"/>
  <c r="BV710" i="2" s="1"/>
  <c r="BU705" i="2"/>
  <c r="BU704" i="2" s="1"/>
  <c r="BP704" i="2"/>
  <c r="U662" i="2"/>
  <c r="BQ663" i="2"/>
  <c r="BR643" i="2"/>
  <c r="BR642" i="2" s="1"/>
  <c r="W642" i="2"/>
  <c r="BR690" i="2"/>
  <c r="BU681" i="2"/>
  <c r="BW681" i="2"/>
  <c r="BS701" i="2"/>
  <c r="BV701" i="2" s="1"/>
  <c r="BU674" i="2"/>
  <c r="BW674" i="2"/>
  <c r="BQ658" i="2"/>
  <c r="U657" i="2"/>
  <c r="W670" i="2"/>
  <c r="BP668" i="2"/>
  <c r="J665" i="2"/>
  <c r="I665" i="2"/>
  <c r="BU659" i="2"/>
  <c r="BW659" i="2"/>
  <c r="I648" i="2"/>
  <c r="BW636" i="2"/>
  <c r="BU636" i="2"/>
  <c r="J643" i="2"/>
  <c r="X643" i="2"/>
  <c r="O642" i="2"/>
  <c r="O740" i="2" s="1"/>
  <c r="X740" i="2" s="1"/>
  <c r="BN643" i="2"/>
  <c r="BO657" i="2"/>
  <c r="BN647" i="2"/>
  <c r="BP647" i="2" s="1"/>
  <c r="X647" i="2"/>
  <c r="BQ570" i="2"/>
  <c r="U569" i="2"/>
  <c r="BU628" i="2"/>
  <c r="BW628" i="2"/>
  <c r="BP658" i="2"/>
  <c r="BP610" i="2"/>
  <c r="BR578" i="2"/>
  <c r="BR577" i="2" s="1"/>
  <c r="W577" i="2"/>
  <c r="BW621" i="2"/>
  <c r="BU621" i="2"/>
  <c r="BS574" i="2"/>
  <c r="BV574" i="2" s="1"/>
  <c r="BW574" i="2" s="1"/>
  <c r="X527" i="2"/>
  <c r="O526" i="2"/>
  <c r="X526" i="2" s="1"/>
  <c r="BP604" i="2"/>
  <c r="U524" i="2"/>
  <c r="BQ525" i="2"/>
  <c r="BO544" i="2"/>
  <c r="BO540" i="2" s="1"/>
  <c r="BO539" i="2" s="1"/>
  <c r="BQ582" i="2"/>
  <c r="BU572" i="2"/>
  <c r="BQ499" i="2"/>
  <c r="U498" i="2"/>
  <c r="J562" i="2"/>
  <c r="X562" i="2"/>
  <c r="BS529" i="2"/>
  <c r="BV529" i="2" s="1"/>
  <c r="BW529" i="2" s="1"/>
  <c r="U508" i="2"/>
  <c r="U505" i="2" s="1"/>
  <c r="BQ509" i="2"/>
  <c r="U541" i="2"/>
  <c r="BQ542" i="2"/>
  <c r="BU520" i="2"/>
  <c r="BU518" i="2" s="1"/>
  <c r="BW520" i="2"/>
  <c r="BU575" i="2"/>
  <c r="BW575" i="2"/>
  <c r="BO535" i="2"/>
  <c r="BQ516" i="2"/>
  <c r="U515" i="2"/>
  <c r="U514" i="2" s="1"/>
  <c r="BP580" i="2"/>
  <c r="W555" i="2"/>
  <c r="W554" i="2" s="1"/>
  <c r="BT546" i="2"/>
  <c r="V544" i="2"/>
  <c r="BQ485" i="2"/>
  <c r="U484" i="2"/>
  <c r="BW585" i="2"/>
  <c r="BU585" i="2"/>
  <c r="BQ527" i="2"/>
  <c r="V490" i="2"/>
  <c r="BP476" i="2"/>
  <c r="BQ460" i="2"/>
  <c r="U459" i="2"/>
  <c r="BP472" i="2"/>
  <c r="BU473" i="2"/>
  <c r="BU472" i="2" s="1"/>
  <c r="P481" i="2"/>
  <c r="Y481" i="2" s="1"/>
  <c r="Y482" i="2"/>
  <c r="BQ476" i="2"/>
  <c r="U475" i="2"/>
  <c r="BP527" i="2"/>
  <c r="BP510" i="2"/>
  <c r="O490" i="2"/>
  <c r="X490" i="2" s="1"/>
  <c r="X491" i="2"/>
  <c r="BU503" i="2"/>
  <c r="BU502" i="2" s="1"/>
  <c r="BP502" i="2"/>
  <c r="G490" i="2"/>
  <c r="O471" i="2"/>
  <c r="X471" i="2" s="1"/>
  <c r="X472" i="2"/>
  <c r="BQ417" i="2"/>
  <c r="U416" i="2"/>
  <c r="BR456" i="2"/>
  <c r="BR455" i="2" s="1"/>
  <c r="W455" i="2"/>
  <c r="Z405" i="2"/>
  <c r="BO405" i="2"/>
  <c r="BO433" i="2"/>
  <c r="BP433" i="2" s="1"/>
  <c r="Z433" i="2"/>
  <c r="W433" i="2"/>
  <c r="BR433" i="2" s="1"/>
  <c r="BS433" i="2" s="1"/>
  <c r="BV433" i="2" s="1"/>
  <c r="BR420" i="2"/>
  <c r="BW412" i="2"/>
  <c r="BU412" i="2"/>
  <c r="O425" i="2"/>
  <c r="X426" i="2"/>
  <c r="BT373" i="2"/>
  <c r="BT372" i="2" s="1"/>
  <c r="BT371" i="2" s="1"/>
  <c r="V372" i="2"/>
  <c r="V371" i="2" s="1"/>
  <c r="S471" i="2"/>
  <c r="BO436" i="2"/>
  <c r="BQ421" i="2"/>
  <c r="U420" i="2"/>
  <c r="BS402" i="2"/>
  <c r="BV402" i="2" s="1"/>
  <c r="BW402" i="2" s="1"/>
  <c r="BQ373" i="2"/>
  <c r="U372" i="2"/>
  <c r="BN436" i="2"/>
  <c r="BO430" i="2"/>
  <c r="BP430" i="2" s="1"/>
  <c r="W430" i="2"/>
  <c r="Z430" i="2"/>
  <c r="BR395" i="2"/>
  <c r="BS386" i="2"/>
  <c r="BV386" i="2" s="1"/>
  <c r="BW386" i="2" s="1"/>
  <c r="BW378" i="2"/>
  <c r="BU378" i="2"/>
  <c r="Q359" i="2"/>
  <c r="Z360" i="2"/>
  <c r="BO360" i="2"/>
  <c r="BO359" i="2" s="1"/>
  <c r="BP351" i="2"/>
  <c r="BN350" i="2"/>
  <c r="Q330" i="2"/>
  <c r="Z330" i="2" s="1"/>
  <c r="Z331" i="2"/>
  <c r="BW365" i="2"/>
  <c r="BU365" i="2"/>
  <c r="BQ349" i="2"/>
  <c r="U347" i="2"/>
  <c r="S281" i="2"/>
  <c r="O268" i="2"/>
  <c r="X268" i="2" s="1"/>
  <c r="X269" i="2"/>
  <c r="BO259" i="2"/>
  <c r="BN394" i="2"/>
  <c r="BP374" i="2"/>
  <c r="BP347" i="2"/>
  <c r="BU348" i="2"/>
  <c r="BU347" i="2" s="1"/>
  <c r="O339" i="2"/>
  <c r="BP267" i="2"/>
  <c r="BN266" i="2"/>
  <c r="BW303" i="2"/>
  <c r="BU303" i="2"/>
  <c r="BU406" i="2"/>
  <c r="BW406" i="2"/>
  <c r="BU349" i="2"/>
  <c r="BP335" i="2"/>
  <c r="BN334" i="2"/>
  <c r="BW322" i="2"/>
  <c r="BU322" i="2"/>
  <c r="BW299" i="2"/>
  <c r="BU299" i="2"/>
  <c r="BN273" i="2"/>
  <c r="BP274" i="2"/>
  <c r="BN255" i="2"/>
  <c r="BP256" i="2"/>
  <c r="AT280" i="2"/>
  <c r="U315" i="2"/>
  <c r="BW275" i="2"/>
  <c r="BU275" i="2"/>
  <c r="S737" i="2"/>
  <c r="L172" i="3" s="1"/>
  <c r="N172" i="3" s="1"/>
  <c r="BU298" i="2"/>
  <c r="BW298" i="2"/>
  <c r="U205" i="2"/>
  <c r="BQ206" i="2"/>
  <c r="BP186" i="2"/>
  <c r="BN185" i="2"/>
  <c r="BN184" i="2" s="1"/>
  <c r="BN260" i="2"/>
  <c r="N737" i="2"/>
  <c r="N735" i="2" s="1"/>
  <c r="I249" i="2"/>
  <c r="J249" i="2"/>
  <c r="BU229" i="2"/>
  <c r="BW229" i="2"/>
  <c r="BS210" i="2"/>
  <c r="BQ209" i="2"/>
  <c r="BS97" i="2"/>
  <c r="BV97" i="2" s="1"/>
  <c r="BW97" i="2" s="1"/>
  <c r="BS238" i="2"/>
  <c r="BQ237" i="2"/>
  <c r="I175" i="2"/>
  <c r="J175" i="2"/>
  <c r="BB166" i="2"/>
  <c r="BQ129" i="2"/>
  <c r="U128" i="2"/>
  <c r="O746" i="2"/>
  <c r="X746" i="2" s="1"/>
  <c r="X120" i="2"/>
  <c r="BU206" i="2"/>
  <c r="BU205" i="2" s="1"/>
  <c r="BP205" i="2"/>
  <c r="R166" i="2"/>
  <c r="T747" i="2"/>
  <c r="BP292" i="2"/>
  <c r="W249" i="2"/>
  <c r="J237" i="2"/>
  <c r="I237" i="2"/>
  <c r="W175" i="2"/>
  <c r="BN160" i="2"/>
  <c r="U153" i="2"/>
  <c r="BQ154" i="2"/>
  <c r="BO743" i="2"/>
  <c r="BW211" i="2"/>
  <c r="BU211" i="2"/>
  <c r="Q150" i="2"/>
  <c r="Z150" i="2" s="1"/>
  <c r="Z151" i="2"/>
  <c r="BU109" i="2"/>
  <c r="BW83" i="2"/>
  <c r="BU83" i="2"/>
  <c r="P741" i="2"/>
  <c r="Y741" i="2" s="1"/>
  <c r="Y76" i="2"/>
  <c r="BL735" i="2"/>
  <c r="AB735" i="2"/>
  <c r="AA3" i="2"/>
  <c r="BN113" i="2"/>
  <c r="BP114" i="2"/>
  <c r="BO217" i="2"/>
  <c r="BO216" i="2" s="1"/>
  <c r="BS141" i="2"/>
  <c r="BV141" i="2" s="1"/>
  <c r="R747" i="2"/>
  <c r="M182" i="3" s="1"/>
  <c r="BW89" i="2"/>
  <c r="BU89" i="2"/>
  <c r="AG735" i="2"/>
  <c r="AL3" i="2"/>
  <c r="BW41" i="2"/>
  <c r="BU41" i="2"/>
  <c r="I745" i="2"/>
  <c r="J745" i="2"/>
  <c r="BQ109" i="2"/>
  <c r="BU82" i="2"/>
  <c r="BW82" i="2"/>
  <c r="Z64" i="2"/>
  <c r="BU210" i="2"/>
  <c r="BW24" i="2"/>
  <c r="BU24" i="2"/>
  <c r="U155" i="2"/>
  <c r="U150" i="2" s="1"/>
  <c r="BP133" i="2"/>
  <c r="BW75" i="2"/>
  <c r="BU75" i="2"/>
  <c r="BW36" i="2"/>
  <c r="BU36" i="2"/>
  <c r="BW31" i="2"/>
  <c r="BU31" i="2"/>
  <c r="I137" i="2"/>
  <c r="J137" i="2"/>
  <c r="J247" i="2"/>
  <c r="G127" i="2"/>
  <c r="W122" i="2"/>
  <c r="J96" i="2"/>
  <c r="BS47" i="2"/>
  <c r="BV47" i="2" s="1"/>
  <c r="BW47" i="2" s="1"/>
  <c r="AM738" i="2"/>
  <c r="BC9" i="2"/>
  <c r="BC3" i="2" s="1"/>
  <c r="BC734" i="2" s="1"/>
  <c r="W5" i="2"/>
  <c r="BR5" i="2"/>
  <c r="X64" i="2"/>
  <c r="O4" i="2"/>
  <c r="X5" i="2"/>
  <c r="BW16" i="2"/>
  <c r="BU16" i="2"/>
  <c r="BE741" i="2"/>
  <c r="BE735" i="2" s="1"/>
  <c r="BU68" i="2"/>
  <c r="BW68" i="2"/>
  <c r="Y4" i="2"/>
  <c r="L719" i="2"/>
  <c r="BH3" i="2"/>
  <c r="BH734" i="2" s="1"/>
  <c r="G736" i="2"/>
  <c r="J5" i="2"/>
  <c r="I5" i="2"/>
  <c r="G4" i="2"/>
  <c r="BW107" i="2"/>
  <c r="BU107" i="2"/>
  <c r="BU98" i="2"/>
  <c r="BW98" i="2"/>
  <c r="BW34" i="2"/>
  <c r="BU34" i="2"/>
  <c r="BO5" i="2"/>
  <c r="AP735" i="2"/>
  <c r="BU72" i="2"/>
  <c r="BW72" i="2"/>
  <c r="U5" i="2"/>
  <c r="O689" i="2"/>
  <c r="X689" i="2" s="1"/>
  <c r="X690" i="2"/>
  <c r="BU703" i="2"/>
  <c r="BU702" i="2" s="1"/>
  <c r="BP702" i="2"/>
  <c r="BW684" i="2"/>
  <c r="BU684" i="2"/>
  <c r="BP534" i="2"/>
  <c r="BN533" i="2"/>
  <c r="BU565" i="2"/>
  <c r="BW565" i="2"/>
  <c r="U551" i="2"/>
  <c r="BQ552" i="2"/>
  <c r="BW586" i="2"/>
  <c r="BU586" i="2"/>
  <c r="BU496" i="2"/>
  <c r="BU495" i="2" s="1"/>
  <c r="BP495" i="2"/>
  <c r="BU710" i="2"/>
  <c r="BW710" i="2"/>
  <c r="U670" i="2"/>
  <c r="BQ671" i="2"/>
  <c r="BQ703" i="2"/>
  <c r="U702" i="2"/>
  <c r="BR686" i="2"/>
  <c r="BR685" i="2" s="1"/>
  <c r="W685" i="2"/>
  <c r="BU698" i="2"/>
  <c r="BW698" i="2"/>
  <c r="BR670" i="2"/>
  <c r="S661" i="2"/>
  <c r="S512" i="2" s="1"/>
  <c r="J670" i="2"/>
  <c r="I670" i="2"/>
  <c r="BR664" i="2"/>
  <c r="BR662" i="2" s="1"/>
  <c r="W662" i="2"/>
  <c r="W661" i="2" s="1"/>
  <c r="BO661" i="2"/>
  <c r="BU615" i="2"/>
  <c r="BW615" i="2"/>
  <c r="BU630" i="2"/>
  <c r="BW630" i="2"/>
  <c r="BU587" i="2"/>
  <c r="BW587" i="2"/>
  <c r="X598" i="2"/>
  <c r="BN598" i="2"/>
  <c r="BP598" i="2" s="1"/>
  <c r="U598" i="2"/>
  <c r="BQ598" i="2" s="1"/>
  <c r="BS598" i="2" s="1"/>
  <c r="BV598" i="2" s="1"/>
  <c r="BU588" i="2"/>
  <c r="BW588" i="2"/>
  <c r="BW592" i="2"/>
  <c r="BU592" i="2"/>
  <c r="U522" i="2"/>
  <c r="BQ523" i="2"/>
  <c r="BR580" i="2"/>
  <c r="BR579" i="2" s="1"/>
  <c r="W579" i="2"/>
  <c r="W544" i="2"/>
  <c r="BR545" i="2"/>
  <c r="BR544" i="2" s="1"/>
  <c r="BW612" i="2"/>
  <c r="BU612" i="2"/>
  <c r="O581" i="2"/>
  <c r="X581" i="2" s="1"/>
  <c r="BT570" i="2"/>
  <c r="V569" i="2"/>
  <c r="BW531" i="2"/>
  <c r="BU531" i="2"/>
  <c r="BU527" i="2" s="1"/>
  <c r="BR519" i="2"/>
  <c r="BR518" i="2" s="1"/>
  <c r="W518" i="2"/>
  <c r="J544" i="2"/>
  <c r="I544" i="2"/>
  <c r="BR528" i="2"/>
  <c r="BR527" i="2" s="1"/>
  <c r="W527" i="2"/>
  <c r="W526" i="2" s="1"/>
  <c r="Q514" i="2"/>
  <c r="X508" i="2"/>
  <c r="O505" i="2"/>
  <c r="X505" i="2" s="1"/>
  <c r="BO526" i="2"/>
  <c r="U502" i="2"/>
  <c r="BQ503" i="2"/>
  <c r="BU567" i="2"/>
  <c r="BU566" i="2" s="1"/>
  <c r="BP566" i="2"/>
  <c r="K512" i="2"/>
  <c r="F37" i="3" s="1"/>
  <c r="X579" i="2"/>
  <c r="BO513" i="2"/>
  <c r="P514" i="2"/>
  <c r="Y515" i="2"/>
  <c r="BR555" i="2"/>
  <c r="Y541" i="2"/>
  <c r="P540" i="2"/>
  <c r="BW500" i="2"/>
  <c r="BU500" i="2"/>
  <c r="J484" i="2"/>
  <c r="I484" i="2"/>
  <c r="U527" i="2"/>
  <c r="P471" i="2"/>
  <c r="Y471" i="2" s="1"/>
  <c r="Y472" i="2"/>
  <c r="BQ458" i="2"/>
  <c r="U457" i="2"/>
  <c r="BP492" i="2"/>
  <c r="BN491" i="2"/>
  <c r="BN490" i="2" s="1"/>
  <c r="J467" i="2"/>
  <c r="BO420" i="2"/>
  <c r="T512" i="2"/>
  <c r="R512" i="2"/>
  <c r="BP478" i="2"/>
  <c r="BS501" i="2"/>
  <c r="BV501" i="2" s="1"/>
  <c r="BW501" i="2" s="1"/>
  <c r="BQ496" i="2"/>
  <c r="U495" i="2"/>
  <c r="BQ478" i="2"/>
  <c r="U477" i="2"/>
  <c r="BR463" i="2"/>
  <c r="BR462" i="2" s="1"/>
  <c r="BR461" i="2" s="1"/>
  <c r="W462" i="2"/>
  <c r="BW445" i="2"/>
  <c r="BU445" i="2"/>
  <c r="W436" i="2"/>
  <c r="BR437" i="2"/>
  <c r="BR436" i="2" s="1"/>
  <c r="BW454" i="2"/>
  <c r="BU454" i="2"/>
  <c r="V479" i="2"/>
  <c r="BT480" i="2"/>
  <c r="BT479" i="2" s="1"/>
  <c r="BQ419" i="2"/>
  <c r="U418" i="2"/>
  <c r="BW403" i="2"/>
  <c r="BU403" i="2"/>
  <c r="BU393" i="2"/>
  <c r="BW393" i="2"/>
  <c r="BP427" i="2"/>
  <c r="BN426" i="2"/>
  <c r="BN425" i="2" s="1"/>
  <c r="BN424" i="2" s="1"/>
  <c r="BP494" i="2"/>
  <c r="BO426" i="2"/>
  <c r="BO425" i="2" s="1"/>
  <c r="BO424" i="2" s="1"/>
  <c r="BP428" i="2"/>
  <c r="BO472" i="2"/>
  <c r="BO471" i="2" s="1"/>
  <c r="BU431" i="2"/>
  <c r="BW431" i="2"/>
  <c r="BW388" i="2"/>
  <c r="BU388" i="2"/>
  <c r="R450" i="2"/>
  <c r="X372" i="2"/>
  <c r="O371" i="2"/>
  <c r="X371" i="2" s="1"/>
  <c r="BW364" i="2"/>
  <c r="BU364" i="2"/>
  <c r="W374" i="2"/>
  <c r="BS370" i="2"/>
  <c r="BQ369" i="2"/>
  <c r="P358" i="2"/>
  <c r="Y358" i="2" s="1"/>
  <c r="Y359" i="2"/>
  <c r="BU402" i="2"/>
  <c r="BN359" i="2"/>
  <c r="BN358" i="2" s="1"/>
  <c r="BR348" i="2"/>
  <c r="W347" i="2"/>
  <c r="BR261" i="2"/>
  <c r="BR260" i="2" s="1"/>
  <c r="W260" i="2"/>
  <c r="U359" i="2"/>
  <c r="U358" i="2" s="1"/>
  <c r="P352" i="2"/>
  <c r="Y352" i="2" s="1"/>
  <c r="Y353" i="2"/>
  <c r="BR332" i="2"/>
  <c r="BR331" i="2" s="1"/>
  <c r="BR330" i="2" s="1"/>
  <c r="W331" i="2"/>
  <c r="W330" i="2" s="1"/>
  <c r="BP318" i="2"/>
  <c r="U282" i="2"/>
  <c r="BQ283" i="2"/>
  <c r="BW276" i="2"/>
  <c r="BU276" i="2"/>
  <c r="BQ267" i="2"/>
  <c r="U266" i="2"/>
  <c r="BW262" i="2"/>
  <c r="BU262" i="2"/>
  <c r="BO361" i="2"/>
  <c r="Z361" i="2"/>
  <c r="J353" i="2"/>
  <c r="BP291" i="2"/>
  <c r="BN290" i="2"/>
  <c r="BW342" i="2"/>
  <c r="BU342" i="2"/>
  <c r="BN325" i="2"/>
  <c r="BP326" i="2"/>
  <c r="BQ274" i="2"/>
  <c r="U273" i="2"/>
  <c r="BQ256" i="2"/>
  <c r="U255" i="2"/>
  <c r="BQ315" i="2"/>
  <c r="BU293" i="2"/>
  <c r="BW293" i="2"/>
  <c r="U217" i="2"/>
  <c r="U216" i="2" s="1"/>
  <c r="BQ218" i="2"/>
  <c r="BO175" i="2"/>
  <c r="BQ208" i="2"/>
  <c r="U207" i="2"/>
  <c r="U185" i="2"/>
  <c r="U184" i="2" s="1"/>
  <c r="BQ186" i="2"/>
  <c r="L338" i="2"/>
  <c r="L280" i="2" s="1"/>
  <c r="L3" i="2" s="1"/>
  <c r="L734" i="2" s="1"/>
  <c r="BW294" i="2"/>
  <c r="BU294" i="2"/>
  <c r="X282" i="2"/>
  <c r="O281" i="2"/>
  <c r="BU261" i="2"/>
  <c r="BU260" i="2" s="1"/>
  <c r="BP260" i="2"/>
  <c r="BT250" i="2"/>
  <c r="BT249" i="2" s="1"/>
  <c r="BT246" i="2" s="1"/>
  <c r="V249" i="2"/>
  <c r="V246" i="2" s="1"/>
  <c r="V739" i="2"/>
  <c r="BP284" i="2"/>
  <c r="BS231" i="2"/>
  <c r="BV231" i="2" s="1"/>
  <c r="BW231" i="2" s="1"/>
  <c r="BT190" i="2"/>
  <c r="BT189" i="2" s="1"/>
  <c r="V189" i="2"/>
  <c r="BU162" i="2"/>
  <c r="BW162" i="2"/>
  <c r="U209" i="2"/>
  <c r="Z185" i="2"/>
  <c r="Q184" i="2"/>
  <c r="Z184" i="2" s="1"/>
  <c r="U237" i="2"/>
  <c r="X217" i="2"/>
  <c r="O216" i="2"/>
  <c r="X216" i="2" s="1"/>
  <c r="BP207" i="2"/>
  <c r="BU208" i="2"/>
  <c r="BU207" i="2" s="1"/>
  <c r="Q167" i="2"/>
  <c r="BO137" i="2"/>
  <c r="BO746" i="2" s="1"/>
  <c r="S127" i="2"/>
  <c r="S9" i="2" s="1"/>
  <c r="BN204" i="2"/>
  <c r="BP138" i="2"/>
  <c r="BN137" i="2"/>
  <c r="BN746" i="2" s="1"/>
  <c r="W120" i="2"/>
  <c r="BR121" i="2"/>
  <c r="BR120" i="2" s="1"/>
  <c r="BP213" i="2"/>
  <c r="G204" i="2"/>
  <c r="I205" i="2"/>
  <c r="J205" i="2"/>
  <c r="J174" i="2"/>
  <c r="BW143" i="2"/>
  <c r="BU143" i="2"/>
  <c r="W290" i="2"/>
  <c r="BW230" i="2"/>
  <c r="BU230" i="2"/>
  <c r="BU187" i="2"/>
  <c r="BW179" i="2"/>
  <c r="BU179" i="2"/>
  <c r="Q160" i="2"/>
  <c r="BO161" i="2"/>
  <c r="Z161" i="2"/>
  <c r="BW140" i="2"/>
  <c r="BU140" i="2"/>
  <c r="BW131" i="2"/>
  <c r="BU131" i="2"/>
  <c r="BO744" i="2"/>
  <c r="BS82" i="2"/>
  <c r="BV82" i="2" s="1"/>
  <c r="BF735" i="2"/>
  <c r="BK3" i="2"/>
  <c r="BW188" i="2"/>
  <c r="BU188" i="2"/>
  <c r="BP155" i="2"/>
  <c r="BU156" i="2"/>
  <c r="BU155" i="2" s="1"/>
  <c r="BQ114" i="2"/>
  <c r="U113" i="2"/>
  <c r="BU79" i="2"/>
  <c r="BW79" i="2"/>
  <c r="W137" i="2"/>
  <c r="BO122" i="2"/>
  <c r="BO747" i="2" s="1"/>
  <c r="P745" i="2"/>
  <c r="Y745" i="2" s="1"/>
  <c r="G742" i="2"/>
  <c r="J104" i="2"/>
  <c r="I104" i="2"/>
  <c r="S738" i="2"/>
  <c r="L173" i="3" s="1"/>
  <c r="AA735" i="2"/>
  <c r="AF3" i="2"/>
  <c r="AF734" i="2" s="1"/>
  <c r="P747" i="2"/>
  <c r="Y747" i="2" s="1"/>
  <c r="BU117" i="2"/>
  <c r="BW117" i="2"/>
  <c r="Q743" i="2"/>
  <c r="Z743" i="2" s="1"/>
  <c r="P742" i="2"/>
  <c r="Y742" i="2" s="1"/>
  <c r="Y104" i="2"/>
  <c r="BL3" i="2"/>
  <c r="BJ735" i="2"/>
  <c r="T736" i="2"/>
  <c r="Y168" i="2"/>
  <c r="P167" i="2"/>
  <c r="U111" i="2"/>
  <c r="BQ111" i="2" s="1"/>
  <c r="BS111" i="2" s="1"/>
  <c r="BV111" i="2" s="1"/>
  <c r="BN111" i="2"/>
  <c r="X111" i="2"/>
  <c r="J111" i="2"/>
  <c r="AB738" i="2"/>
  <c r="O726" i="2"/>
  <c r="N127" i="2"/>
  <c r="N9" i="2" s="1"/>
  <c r="BN132" i="2"/>
  <c r="V742" i="2"/>
  <c r="BO76" i="2"/>
  <c r="BO10" i="2" s="1"/>
  <c r="BW67" i="2"/>
  <c r="BU67" i="2"/>
  <c r="BW60" i="2"/>
  <c r="BU60" i="2"/>
  <c r="BW42" i="2"/>
  <c r="BU42" i="2"/>
  <c r="S736" i="2"/>
  <c r="BP190" i="2"/>
  <c r="BW146" i="2"/>
  <c r="BU146" i="2"/>
  <c r="AE742" i="2"/>
  <c r="AE10" i="2"/>
  <c r="AE9" i="2" s="1"/>
  <c r="AE3" i="2" s="1"/>
  <c r="AE734" i="2" s="1"/>
  <c r="BW95" i="2"/>
  <c r="BU95" i="2"/>
  <c r="AL740" i="2"/>
  <c r="AL735" i="2" s="1"/>
  <c r="BS52" i="2"/>
  <c r="BV52" i="2" s="1"/>
  <c r="BW52" i="2" s="1"/>
  <c r="X14" i="2"/>
  <c r="AW9" i="2"/>
  <c r="AW3" i="2" s="1"/>
  <c r="AW734" i="2" s="1"/>
  <c r="BM735" i="2"/>
  <c r="BW66" i="2"/>
  <c r="BU66" i="2"/>
  <c r="BS54" i="2"/>
  <c r="BV54" i="2" s="1"/>
  <c r="BW54" i="2" s="1"/>
  <c r="R738" i="2"/>
  <c r="R735" i="2" s="1"/>
  <c r="G150" i="2"/>
  <c r="L735" i="2"/>
  <c r="BH735" i="2"/>
  <c r="S740" i="2"/>
  <c r="L175" i="3" s="1"/>
  <c r="G10" i="2"/>
  <c r="BU15" i="2"/>
  <c r="AJ3" i="2"/>
  <c r="BQ705" i="2"/>
  <c r="U704" i="2"/>
  <c r="V704" i="2"/>
  <c r="V689" i="2" s="1"/>
  <c r="BT705" i="2"/>
  <c r="BT704" i="2" s="1"/>
  <c r="BT689" i="2" s="1"/>
  <c r="BU695" i="2"/>
  <c r="BW695" i="2"/>
  <c r="BT578" i="2"/>
  <c r="BT577" i="2" s="1"/>
  <c r="BT576" i="2" s="1"/>
  <c r="V577" i="2"/>
  <c r="V576" i="2" s="1"/>
  <c r="BW597" i="2"/>
  <c r="BU597" i="2"/>
  <c r="V540" i="2"/>
  <c r="BU517" i="2"/>
  <c r="BW517" i="2"/>
  <c r="BQ466" i="2"/>
  <c r="U465" i="2"/>
  <c r="BS713" i="2"/>
  <c r="BV713" i="2" s="1"/>
  <c r="BW700" i="2"/>
  <c r="BU700" i="2"/>
  <c r="BQ669" i="2"/>
  <c r="U667" i="2"/>
  <c r="BS684" i="2"/>
  <c r="BV684" i="2" s="1"/>
  <c r="U665" i="2"/>
  <c r="BQ666" i="2"/>
  <c r="BP701" i="2"/>
  <c r="W655" i="2"/>
  <c r="BR656" i="2"/>
  <c r="BR655" i="2" s="1"/>
  <c r="BP676" i="2"/>
  <c r="BT666" i="2"/>
  <c r="BT665" i="2" s="1"/>
  <c r="V665" i="2"/>
  <c r="V685" i="2"/>
  <c r="BT686" i="2"/>
  <c r="BT685" i="2" s="1"/>
  <c r="BQ691" i="2"/>
  <c r="U690" i="2"/>
  <c r="BR669" i="2"/>
  <c r="BR667" i="2" s="1"/>
  <c r="W667" i="2"/>
  <c r="BN670" i="2"/>
  <c r="BT663" i="2"/>
  <c r="V662" i="2"/>
  <c r="BU664" i="2"/>
  <c r="BS641" i="2"/>
  <c r="BV641" i="2" s="1"/>
  <c r="BW652" i="2"/>
  <c r="BU652" i="2"/>
  <c r="BW635" i="2"/>
  <c r="BU635" i="2"/>
  <c r="BP662" i="2"/>
  <c r="BN646" i="2"/>
  <c r="BP646" i="2" s="1"/>
  <c r="X646" i="2"/>
  <c r="U643" i="2"/>
  <c r="BP631" i="2"/>
  <c r="BU608" i="2"/>
  <c r="BR571" i="2"/>
  <c r="BR569" i="2" s="1"/>
  <c r="W569" i="2"/>
  <c r="BS572" i="2"/>
  <c r="BV572" i="2" s="1"/>
  <c r="BW572" i="2" s="1"/>
  <c r="G540" i="2"/>
  <c r="BS521" i="2"/>
  <c r="BV521" i="2" s="1"/>
  <c r="I577" i="2"/>
  <c r="G576" i="2"/>
  <c r="J577" i="2"/>
  <c r="BU557" i="2"/>
  <c r="BW557" i="2"/>
  <c r="BP536" i="2"/>
  <c r="BN535" i="2"/>
  <c r="BS607" i="2"/>
  <c r="BV607" i="2" s="1"/>
  <c r="BW607" i="2" s="1"/>
  <c r="BP556" i="2"/>
  <c r="BN555" i="2"/>
  <c r="BO642" i="2"/>
  <c r="BS603" i="2"/>
  <c r="BV603" i="2" s="1"/>
  <c r="BU582" i="2"/>
  <c r="Z555" i="2"/>
  <c r="Q554" i="2"/>
  <c r="Z554" i="2" s="1"/>
  <c r="BS543" i="2"/>
  <c r="BV543" i="2" s="1"/>
  <c r="J527" i="2"/>
  <c r="Y555" i="2"/>
  <c r="P554" i="2"/>
  <c r="Y554" i="2" s="1"/>
  <c r="E512" i="2"/>
  <c r="E717" i="2" s="1"/>
  <c r="E729" i="2" s="1"/>
  <c r="BW560" i="2"/>
  <c r="BU560" i="2"/>
  <c r="P576" i="2"/>
  <c r="Y576" i="2" s="1"/>
  <c r="BQ566" i="2"/>
  <c r="BT536" i="2"/>
  <c r="BT535" i="2" s="1"/>
  <c r="V535" i="2"/>
  <c r="BQ483" i="2"/>
  <c r="U482" i="2"/>
  <c r="BQ473" i="2"/>
  <c r="U472" i="2"/>
  <c r="U471" i="2" s="1"/>
  <c r="BQ456" i="2"/>
  <c r="U455" i="2"/>
  <c r="W486" i="2"/>
  <c r="BP470" i="2"/>
  <c r="BN469" i="2"/>
  <c r="BN461" i="2" s="1"/>
  <c r="BN450" i="2" s="1"/>
  <c r="BS414" i="2"/>
  <c r="BV414" i="2" s="1"/>
  <c r="BW414" i="2" s="1"/>
  <c r="BP516" i="2"/>
  <c r="BN515" i="2"/>
  <c r="BN514" i="2" s="1"/>
  <c r="BT504" i="2"/>
  <c r="V502" i="2"/>
  <c r="BP466" i="2"/>
  <c r="BP401" i="2"/>
  <c r="Q505" i="2"/>
  <c r="Z505" i="2" s="1"/>
  <c r="Z508" i="2"/>
  <c r="BP509" i="2"/>
  <c r="W472" i="2"/>
  <c r="W471" i="2" s="1"/>
  <c r="X462" i="2"/>
  <c r="O461" i="2"/>
  <c r="X461" i="2" s="1"/>
  <c r="Q426" i="2"/>
  <c r="BW411" i="2"/>
  <c r="BU411" i="2"/>
  <c r="BN407" i="2"/>
  <c r="W418" i="2"/>
  <c r="BR419" i="2"/>
  <c r="BR418" i="2" s="1"/>
  <c r="BS390" i="2"/>
  <c r="BV390" i="2" s="1"/>
  <c r="BW390" i="2" s="1"/>
  <c r="BS368" i="2"/>
  <c r="BV368" i="2" s="1"/>
  <c r="BP460" i="2"/>
  <c r="Z462" i="2"/>
  <c r="Q461" i="2"/>
  <c r="Z461" i="2" s="1"/>
  <c r="J394" i="2"/>
  <c r="I394" i="2"/>
  <c r="BS404" i="2"/>
  <c r="BV404" i="2" s="1"/>
  <c r="BW404" i="2" s="1"/>
  <c r="BU463" i="2"/>
  <c r="BU462" i="2" s="1"/>
  <c r="BP462" i="2"/>
  <c r="V425" i="2"/>
  <c r="V424" i="2" s="1"/>
  <c r="BW392" i="2"/>
  <c r="BU392" i="2"/>
  <c r="BU380" i="2"/>
  <c r="BS364" i="2"/>
  <c r="BV364" i="2" s="1"/>
  <c r="BR374" i="2"/>
  <c r="BS363" i="2"/>
  <c r="BV363" i="2" s="1"/>
  <c r="S358" i="2"/>
  <c r="J347" i="2"/>
  <c r="I347" i="2"/>
  <c r="BN340" i="2"/>
  <c r="BP341" i="2"/>
  <c r="BO312" i="2"/>
  <c r="W282" i="2"/>
  <c r="W281" i="2" s="1"/>
  <c r="BR283" i="2"/>
  <c r="BR282" i="2" s="1"/>
  <c r="BR281" i="2" s="1"/>
  <c r="BT370" i="2"/>
  <c r="BT369" i="2" s="1"/>
  <c r="BT358" i="2" s="1"/>
  <c r="V369" i="2"/>
  <c r="O358" i="2"/>
  <c r="X358" i="2" s="1"/>
  <c r="X359" i="2"/>
  <c r="P330" i="2"/>
  <c r="Y330" i="2" s="1"/>
  <c r="Y331" i="2"/>
  <c r="P281" i="2"/>
  <c r="Y282" i="2"/>
  <c r="BQ359" i="2"/>
  <c r="BQ358" i="2" s="1"/>
  <c r="X331" i="2"/>
  <c r="O330" i="2"/>
  <c r="AY280" i="2"/>
  <c r="AY3" i="2" s="1"/>
  <c r="AY734" i="2" s="1"/>
  <c r="BP265" i="2"/>
  <c r="W396" i="2"/>
  <c r="BR396" i="2" s="1"/>
  <c r="P339" i="2"/>
  <c r="Y340" i="2"/>
  <c r="BW317" i="2"/>
  <c r="BU317" i="2"/>
  <c r="BW307" i="2"/>
  <c r="BU307" i="2"/>
  <c r="BW300" i="2"/>
  <c r="BU300" i="2"/>
  <c r="BQ291" i="2"/>
  <c r="U290" i="2"/>
  <c r="V358" i="2"/>
  <c r="BQ341" i="2"/>
  <c r="U340" i="2"/>
  <c r="BQ326" i="2"/>
  <c r="U325" i="2"/>
  <c r="BN271" i="2"/>
  <c r="BP272" i="2"/>
  <c r="BN253" i="2"/>
  <c r="BN246" i="2" s="1"/>
  <c r="BP254" i="2"/>
  <c r="T338" i="2"/>
  <c r="T280" i="2"/>
  <c r="G739" i="2"/>
  <c r="BQ190" i="2"/>
  <c r="U189" i="2"/>
  <c r="BT268" i="2"/>
  <c r="X237" i="2"/>
  <c r="BO184" i="2"/>
  <c r="J331" i="2"/>
  <c r="R280" i="2"/>
  <c r="BN282" i="2"/>
  <c r="BP283" i="2"/>
  <c r="U247" i="2"/>
  <c r="BQ248" i="2"/>
  <c r="BW227" i="2"/>
  <c r="BU227" i="2"/>
  <c r="BW212" i="2"/>
  <c r="BU212" i="2"/>
  <c r="W246" i="2"/>
  <c r="F8" i="3"/>
  <c r="J195" i="2"/>
  <c r="I195" i="2"/>
  <c r="BR187" i="2"/>
  <c r="BR185" i="2" s="1"/>
  <c r="BR184" i="2" s="1"/>
  <c r="W185" i="2"/>
  <c r="W184" i="2" s="1"/>
  <c r="BT259" i="2"/>
  <c r="P746" i="2"/>
  <c r="Y746" i="2" s="1"/>
  <c r="Y120" i="2"/>
  <c r="Q744" i="2"/>
  <c r="Z744" i="2" s="1"/>
  <c r="BW235" i="2"/>
  <c r="BU235" i="2"/>
  <c r="K166" i="2"/>
  <c r="BU119" i="2"/>
  <c r="BU118" i="2" s="1"/>
  <c r="BP118" i="2"/>
  <c r="U137" i="2"/>
  <c r="BQ138" i="2"/>
  <c r="BO745" i="2"/>
  <c r="P237" i="2"/>
  <c r="Y237" i="2" s="1"/>
  <c r="BS164" i="2"/>
  <c r="BR133" i="2"/>
  <c r="BR132" i="2" s="1"/>
  <c r="W132" i="2"/>
  <c r="BP327" i="2"/>
  <c r="BR290" i="2"/>
  <c r="BW257" i="2"/>
  <c r="BU257" i="2"/>
  <c r="J163" i="2"/>
  <c r="I163" i="2"/>
  <c r="BP134" i="2"/>
  <c r="BQ121" i="2"/>
  <c r="U120" i="2"/>
  <c r="BW99" i="2"/>
  <c r="BU99" i="2"/>
  <c r="U174" i="2"/>
  <c r="BQ174" i="2" s="1"/>
  <c r="BS174" i="2" s="1"/>
  <c r="BV174" i="2" s="1"/>
  <c r="Y128" i="2"/>
  <c r="P127" i="2"/>
  <c r="Y127" i="2" s="1"/>
  <c r="W113" i="2"/>
  <c r="U64" i="2"/>
  <c r="BQ65" i="2"/>
  <c r="BS22" i="2"/>
  <c r="BV22" i="2" s="1"/>
  <c r="BW22" i="2" s="1"/>
  <c r="BN168" i="2"/>
  <c r="BP169" i="2"/>
  <c r="O171" i="2"/>
  <c r="X171" i="2" s="1"/>
  <c r="BR137" i="2"/>
  <c r="BP77" i="2"/>
  <c r="BS70" i="2"/>
  <c r="BV70" i="2" s="1"/>
  <c r="BW70" i="2" s="1"/>
  <c r="M738" i="2"/>
  <c r="BK735" i="2"/>
  <c r="BJ3" i="2"/>
  <c r="V108" i="2"/>
  <c r="BP18" i="2"/>
  <c r="BQ151" i="2"/>
  <c r="BS152" i="2"/>
  <c r="W128" i="2"/>
  <c r="V113" i="2"/>
  <c r="BT114" i="2"/>
  <c r="BT113" i="2" s="1"/>
  <c r="BW93" i="2"/>
  <c r="BU93" i="2"/>
  <c r="BF3" i="2"/>
  <c r="BT742" i="2"/>
  <c r="BW49" i="2"/>
  <c r="BU49" i="2"/>
  <c r="W11" i="2"/>
  <c r="W10" i="2" s="1"/>
  <c r="BR12" i="2"/>
  <c r="BR11" i="2" s="1"/>
  <c r="BP30" i="2"/>
  <c r="BP141" i="2"/>
  <c r="BQ133" i="2"/>
  <c r="U132" i="2"/>
  <c r="G747" i="2"/>
  <c r="J122" i="2"/>
  <c r="I122" i="2"/>
  <c r="O744" i="2"/>
  <c r="X744" i="2" s="1"/>
  <c r="X113" i="2"/>
  <c r="S742" i="2"/>
  <c r="L177" i="3" s="1"/>
  <c r="N177" i="3" s="1"/>
  <c r="AQ9" i="2"/>
  <c r="AQ3" i="2" s="1"/>
  <c r="AQ734" i="2" s="1"/>
  <c r="BG735" i="2"/>
  <c r="Q736" i="2"/>
  <c r="Z5" i="2"/>
  <c r="Q4" i="2"/>
  <c r="Q745" i="2"/>
  <c r="Z745" i="2" s="1"/>
  <c r="BU54" i="2"/>
  <c r="R9" i="2"/>
  <c r="R721" i="2" s="1"/>
  <c r="G721" i="2" s="1"/>
  <c r="Q741" i="2"/>
  <c r="Z741" i="2" s="1"/>
  <c r="P736" i="2"/>
  <c r="G740" i="2"/>
  <c r="I64" i="2"/>
  <c r="J64" i="2"/>
  <c r="BN14" i="2"/>
  <c r="AJ735" i="2"/>
  <c r="BP45" i="2"/>
  <c r="K10" i="2"/>
  <c r="K9" i="2" s="1"/>
  <c r="I14" i="2"/>
  <c r="Z690" i="2"/>
  <c r="Q689" i="2"/>
  <c r="Z689" i="2" s="1"/>
  <c r="BU634" i="2"/>
  <c r="BW634" i="2"/>
  <c r="BU632" i="2"/>
  <c r="BW632" i="2"/>
  <c r="I579" i="2"/>
  <c r="J579" i="2"/>
  <c r="BU639" i="2"/>
  <c r="BW639" i="2"/>
  <c r="BT526" i="2"/>
  <c r="BT513" i="2" s="1"/>
  <c r="BT471" i="2"/>
  <c r="BT450" i="2" s="1"/>
  <c r="BU441" i="2"/>
  <c r="BW441" i="2"/>
  <c r="BW711" i="2"/>
  <c r="BU711" i="2"/>
  <c r="L66" i="3"/>
  <c r="L93" i="3"/>
  <c r="BP713" i="2"/>
  <c r="BQ708" i="2"/>
  <c r="U707" i="2"/>
  <c r="BS664" i="2"/>
  <c r="BV664" i="2" s="1"/>
  <c r="BW664" i="2" s="1"/>
  <c r="BU688" i="2"/>
  <c r="BW688" i="2"/>
  <c r="BQ686" i="2"/>
  <c r="U685" i="2"/>
  <c r="X662" i="2"/>
  <c r="O661" i="2"/>
  <c r="X661" i="2" s="1"/>
  <c r="BT668" i="2"/>
  <c r="BT667" i="2" s="1"/>
  <c r="BT746" i="2" s="1"/>
  <c r="V667" i="2"/>
  <c r="BP691" i="2"/>
  <c r="BN690" i="2"/>
  <c r="BN689" i="2" s="1"/>
  <c r="BU686" i="2"/>
  <c r="BP685" i="2"/>
  <c r="BU669" i="2"/>
  <c r="J667" i="2"/>
  <c r="I667" i="2"/>
  <c r="BN661" i="2"/>
  <c r="BU662" i="2"/>
  <c r="BP641" i="2"/>
  <c r="BW616" i="2"/>
  <c r="BU616" i="2"/>
  <c r="BN656" i="2"/>
  <c r="O655" i="2"/>
  <c r="X656" i="2"/>
  <c r="BS633" i="2"/>
  <c r="BV633" i="2" s="1"/>
  <c r="BS600" i="2"/>
  <c r="BV600" i="2" s="1"/>
  <c r="BW600" i="2" s="1"/>
  <c r="BW584" i="2"/>
  <c r="BU584" i="2"/>
  <c r="X589" i="2"/>
  <c r="BN589" i="2"/>
  <c r="BP589" i="2" s="1"/>
  <c r="U589" i="2"/>
  <c r="BQ589" i="2" s="1"/>
  <c r="BS589" i="2" s="1"/>
  <c r="BV589" i="2" s="1"/>
  <c r="BW622" i="2"/>
  <c r="BU622" i="2"/>
  <c r="BS608" i="2"/>
  <c r="BV608" i="2" s="1"/>
  <c r="BW608" i="2" s="1"/>
  <c r="W551" i="2"/>
  <c r="BR552" i="2"/>
  <c r="BR551" i="2" s="1"/>
  <c r="BS537" i="2"/>
  <c r="BV537" i="2" s="1"/>
  <c r="BW537" i="2" s="1"/>
  <c r="U535" i="2"/>
  <c r="BQ536" i="2"/>
  <c r="BU607" i="2"/>
  <c r="X599" i="2"/>
  <c r="BN599" i="2"/>
  <c r="BP599" i="2" s="1"/>
  <c r="U599" i="2"/>
  <c r="BQ599" i="2" s="1"/>
  <c r="BS599" i="2" s="1"/>
  <c r="BV599" i="2" s="1"/>
  <c r="I581" i="2"/>
  <c r="BQ556" i="2"/>
  <c r="U555" i="2"/>
  <c r="BW603" i="2"/>
  <c r="BU603" i="2"/>
  <c r="BR542" i="2"/>
  <c r="BR541" i="2" s="1"/>
  <c r="BR540" i="2" s="1"/>
  <c r="W541" i="2"/>
  <c r="W540" i="2" s="1"/>
  <c r="W539" i="2" s="1"/>
  <c r="BR525" i="2"/>
  <c r="BR524" i="2" s="1"/>
  <c r="W524" i="2"/>
  <c r="U518" i="2"/>
  <c r="BQ519" i="2"/>
  <c r="BW543" i="2"/>
  <c r="BU543" i="2"/>
  <c r="X555" i="2"/>
  <c r="W515" i="2"/>
  <c r="BR516" i="2"/>
  <c r="BR515" i="2" s="1"/>
  <c r="V562" i="2"/>
  <c r="V554" i="2" s="1"/>
  <c r="U566" i="2"/>
  <c r="X545" i="2"/>
  <c r="BN545" i="2"/>
  <c r="O544" i="2"/>
  <c r="X544" i="2" s="1"/>
  <c r="U545" i="2"/>
  <c r="AK512" i="2"/>
  <c r="BN527" i="2"/>
  <c r="BV567" i="2"/>
  <c r="BV566" i="2" s="1"/>
  <c r="BS566" i="2"/>
  <c r="V527" i="2"/>
  <c r="W498" i="2"/>
  <c r="W490" i="2" s="1"/>
  <c r="J482" i="2"/>
  <c r="I482" i="2"/>
  <c r="G481" i="2"/>
  <c r="J472" i="2"/>
  <c r="I472" i="2"/>
  <c r="G471" i="2"/>
  <c r="O569" i="2"/>
  <c r="O554" i="2" s="1"/>
  <c r="X554" i="2" s="1"/>
  <c r="BN571" i="2"/>
  <c r="U571" i="2"/>
  <c r="BQ571" i="2" s="1"/>
  <c r="X571" i="2"/>
  <c r="J519" i="2"/>
  <c r="I519" i="2"/>
  <c r="G518" i="2"/>
  <c r="G737" i="2" s="1"/>
  <c r="BQ468" i="2"/>
  <c r="U467" i="2"/>
  <c r="BR486" i="2"/>
  <c r="U436" i="2"/>
  <c r="BQ437" i="2"/>
  <c r="BQ480" i="2"/>
  <c r="U479" i="2"/>
  <c r="BQ470" i="2"/>
  <c r="U469" i="2"/>
  <c r="Z540" i="2"/>
  <c r="Q539" i="2"/>
  <c r="Z539" i="2" s="1"/>
  <c r="I524" i="2"/>
  <c r="J524" i="2"/>
  <c r="BR453" i="2"/>
  <c r="BR452" i="2" s="1"/>
  <c r="W452" i="2"/>
  <c r="BO452" i="2"/>
  <c r="BU432" i="2"/>
  <c r="BW432" i="2"/>
  <c r="BP421" i="2"/>
  <c r="BN420" i="2"/>
  <c r="BU408" i="2"/>
  <c r="BP407" i="2"/>
  <c r="BW399" i="2"/>
  <c r="BU399" i="2"/>
  <c r="J371" i="2"/>
  <c r="I371" i="2"/>
  <c r="V475" i="2"/>
  <c r="V471" i="2" s="1"/>
  <c r="V450" i="2" s="1"/>
  <c r="BT476" i="2"/>
  <c r="BT475" i="2" s="1"/>
  <c r="BT437" i="2"/>
  <c r="BT436" i="2" s="1"/>
  <c r="BT425" i="2" s="1"/>
  <c r="V436" i="2"/>
  <c r="BU453" i="2"/>
  <c r="BU452" i="2" s="1"/>
  <c r="BP452" i="2"/>
  <c r="BW446" i="2"/>
  <c r="BU446" i="2"/>
  <c r="BP405" i="2"/>
  <c r="BS396" i="2"/>
  <c r="BV396" i="2" s="1"/>
  <c r="BR354" i="2"/>
  <c r="BR353" i="2" s="1"/>
  <c r="BR352" i="2" s="1"/>
  <c r="W353" i="2"/>
  <c r="W352" i="2" s="1"/>
  <c r="J479" i="2"/>
  <c r="BO407" i="2"/>
  <c r="U374" i="2"/>
  <c r="BQ375" i="2"/>
  <c r="O514" i="2"/>
  <c r="BV427" i="2"/>
  <c r="BS410" i="2"/>
  <c r="BV410" i="2" s="1"/>
  <c r="BW410" i="2" s="1"/>
  <c r="S526" i="2"/>
  <c r="Q451" i="2"/>
  <c r="BS391" i="2"/>
  <c r="BV391" i="2" s="1"/>
  <c r="BW391" i="2" s="1"/>
  <c r="BS380" i="2"/>
  <c r="BV380" i="2" s="1"/>
  <c r="BW380" i="2" s="1"/>
  <c r="BW362" i="2"/>
  <c r="BU362" i="2"/>
  <c r="BN374" i="2"/>
  <c r="J359" i="2"/>
  <c r="I359" i="2"/>
  <c r="G358" i="2"/>
  <c r="W345" i="2"/>
  <c r="BR346" i="2"/>
  <c r="BR345" i="2" s="1"/>
  <c r="AI737" i="2"/>
  <c r="AI735" i="2" s="1"/>
  <c r="BW382" i="2"/>
  <c r="BU382" i="2"/>
  <c r="Q281" i="2"/>
  <c r="Z282" i="2"/>
  <c r="BO249" i="2"/>
  <c r="BO246" i="2" s="1"/>
  <c r="BT346" i="2"/>
  <c r="BT345" i="2" s="1"/>
  <c r="BT339" i="2" s="1"/>
  <c r="V345" i="2"/>
  <c r="V339" i="2" s="1"/>
  <c r="V338" i="2" s="1"/>
  <c r="U312" i="2"/>
  <c r="BQ313" i="2"/>
  <c r="U249" i="2"/>
  <c r="BQ250" i="2"/>
  <c r="W360" i="2"/>
  <c r="BQ351" i="2"/>
  <c r="U350" i="2"/>
  <c r="BV328" i="2"/>
  <c r="BS327" i="2"/>
  <c r="BP278" i="2"/>
  <c r="BR274" i="2"/>
  <c r="BR273" i="2" s="1"/>
  <c r="W273" i="2"/>
  <c r="BW258" i="2"/>
  <c r="BU258" i="2"/>
  <c r="BQ354" i="2"/>
  <c r="U353" i="2"/>
  <c r="U352" i="2" s="1"/>
  <c r="BP288" i="2"/>
  <c r="BN287" i="2"/>
  <c r="Q394" i="2"/>
  <c r="Z394" i="2" s="1"/>
  <c r="BS381" i="2"/>
  <c r="BV381" i="2" s="1"/>
  <c r="BW381" i="2" s="1"/>
  <c r="BU363" i="2"/>
  <c r="BW363" i="2"/>
  <c r="BT330" i="2"/>
  <c r="BW295" i="2"/>
  <c r="BU295" i="2"/>
  <c r="BW285" i="2"/>
  <c r="BU285" i="2"/>
  <c r="BQ272" i="2"/>
  <c r="U271" i="2"/>
  <c r="BQ254" i="2"/>
  <c r="U253" i="2"/>
  <c r="BU313" i="2"/>
  <c r="BU312" i="2" s="1"/>
  <c r="BP312" i="2"/>
  <c r="P268" i="2"/>
  <c r="Y268" i="2" s="1"/>
  <c r="Y269" i="2"/>
  <c r="Z253" i="2"/>
  <c r="Q246" i="2"/>
  <c r="Z246" i="2" s="1"/>
  <c r="BS199" i="2"/>
  <c r="BV199" i="2" s="1"/>
  <c r="BW199" i="2" s="1"/>
  <c r="S338" i="2"/>
  <c r="L145" i="3" s="1"/>
  <c r="V268" i="2"/>
  <c r="V259" i="2" s="1"/>
  <c r="BP250" i="2"/>
  <c r="BS183" i="2"/>
  <c r="BV183" i="2" s="1"/>
  <c r="BW183" i="2" s="1"/>
  <c r="W195" i="2"/>
  <c r="BP176" i="2"/>
  <c r="BN175" i="2"/>
  <c r="BU197" i="2"/>
  <c r="P737" i="2"/>
  <c r="Y737" i="2" s="1"/>
  <c r="BU302" i="2"/>
  <c r="BW302" i="2"/>
  <c r="V240" i="2"/>
  <c r="S237" i="2"/>
  <c r="S743" i="2" s="1"/>
  <c r="L178" i="3" s="1"/>
  <c r="N178" i="3" s="1"/>
  <c r="BS220" i="2"/>
  <c r="BV220" i="2" s="1"/>
  <c r="BS194" i="2"/>
  <c r="BV194" i="2" s="1"/>
  <c r="BW194" i="2" s="1"/>
  <c r="BU199" i="2"/>
  <c r="T166" i="2"/>
  <c r="BW220" i="2"/>
  <c r="BU220" i="2"/>
  <c r="BT176" i="2"/>
  <c r="BT175" i="2" s="1"/>
  <c r="V175" i="2"/>
  <c r="V167" i="2" s="1"/>
  <c r="BR110" i="2"/>
  <c r="BR108" i="2" s="1"/>
  <c r="W108" i="2"/>
  <c r="W743" i="2" s="1"/>
  <c r="W161" i="2"/>
  <c r="W118" i="2"/>
  <c r="BR119" i="2"/>
  <c r="BR118" i="2" s="1"/>
  <c r="BR745" i="2" s="1"/>
  <c r="BP195" i="2"/>
  <c r="G746" i="2"/>
  <c r="BU327" i="2"/>
  <c r="BU224" i="2"/>
  <c r="BW224" i="2"/>
  <c r="BT186" i="2"/>
  <c r="BT185" i="2" s="1"/>
  <c r="BT184" i="2" s="1"/>
  <c r="V185" i="2"/>
  <c r="V184" i="2" s="1"/>
  <c r="BP106" i="2"/>
  <c r="BW87" i="2"/>
  <c r="BU87" i="2"/>
  <c r="BP237" i="2"/>
  <c r="BU238" i="2"/>
  <c r="BT157" i="2"/>
  <c r="V155" i="2"/>
  <c r="V150" i="2" s="1"/>
  <c r="BR113" i="2"/>
  <c r="BR744" i="2" s="1"/>
  <c r="AT735" i="2"/>
  <c r="AS3" i="2"/>
  <c r="AS734" i="2" s="1"/>
  <c r="X168" i="2"/>
  <c r="O167" i="2"/>
  <c r="BP172" i="2"/>
  <c r="BP159" i="2"/>
  <c r="BQ149" i="2"/>
  <c r="U148" i="2"/>
  <c r="Q747" i="2"/>
  <c r="Z747" i="2" s="1"/>
  <c r="O76" i="2"/>
  <c r="J76" i="2" s="1"/>
  <c r="BS33" i="2"/>
  <c r="BV33" i="2" s="1"/>
  <c r="BW33" i="2" s="1"/>
  <c r="AY736" i="2"/>
  <c r="AY735" i="2" s="1"/>
  <c r="BD3" i="2"/>
  <c r="AZ738" i="2"/>
  <c r="AZ735" i="2" s="1"/>
  <c r="BR128" i="2"/>
  <c r="BN86" i="2"/>
  <c r="BP86" i="2" s="1"/>
  <c r="X86" i="2"/>
  <c r="U86" i="2"/>
  <c r="BQ86" i="2" s="1"/>
  <c r="BS86" i="2" s="1"/>
  <c r="BV86" i="2" s="1"/>
  <c r="AT3" i="2"/>
  <c r="BP154" i="2"/>
  <c r="BW219" i="2"/>
  <c r="BU219" i="2"/>
  <c r="I185" i="2"/>
  <c r="G184" i="2"/>
  <c r="J185" i="2"/>
  <c r="U104" i="2"/>
  <c r="U742" i="2" s="1"/>
  <c r="BQ105" i="2"/>
  <c r="S741" i="2"/>
  <c r="L176" i="3" s="1"/>
  <c r="G259" i="2"/>
  <c r="BT167" i="2"/>
  <c r="Q746" i="2"/>
  <c r="Z746" i="2" s="1"/>
  <c r="BN104" i="2"/>
  <c r="BS56" i="2"/>
  <c r="BV56" i="2" s="1"/>
  <c r="BW56" i="2" s="1"/>
  <c r="BS29" i="2"/>
  <c r="BV29" i="2" s="1"/>
  <c r="BW29" i="2" s="1"/>
  <c r="BS23" i="2"/>
  <c r="BV23" i="2" s="1"/>
  <c r="BW23" i="2" s="1"/>
  <c r="BS17" i="2"/>
  <c r="BV17" i="2" s="1"/>
  <c r="BW17" i="2" s="1"/>
  <c r="O11" i="2"/>
  <c r="BN12" i="2"/>
  <c r="X12" i="2"/>
  <c r="U12" i="2"/>
  <c r="AK9" i="2"/>
  <c r="AK3" i="2" s="1"/>
  <c r="AK734" i="2" s="1"/>
  <c r="K736" i="2"/>
  <c r="K4" i="2"/>
  <c r="BR65" i="2"/>
  <c r="BR64" i="2" s="1"/>
  <c r="W64" i="2"/>
  <c r="BP149" i="2"/>
  <c r="BU73" i="2"/>
  <c r="BW73" i="2"/>
  <c r="BP65" i="2"/>
  <c r="AM10" i="2"/>
  <c r="AM9" i="2" s="1"/>
  <c r="AM3" i="2" s="1"/>
  <c r="BU38" i="2"/>
  <c r="BW38" i="2"/>
  <c r="BU7" i="2"/>
  <c r="BW7" i="2"/>
  <c r="U76" i="2"/>
  <c r="R740" i="2"/>
  <c r="M175" i="3" s="1"/>
  <c r="AV3" i="2"/>
  <c r="AD3" i="2"/>
  <c r="BS45" i="2"/>
  <c r="BV45" i="2" s="1"/>
  <c r="BU57" i="2"/>
  <c r="BW57" i="2"/>
  <c r="AZ10" i="2"/>
  <c r="AZ9" i="2" s="1"/>
  <c r="AZ3" i="2" s="1"/>
  <c r="J14" i="2"/>
  <c r="BL734" i="2" l="1"/>
  <c r="BM3" i="2"/>
  <c r="BM734" i="2" s="1"/>
  <c r="R3" i="2"/>
  <c r="R734" i="2" s="1"/>
  <c r="T738" i="2"/>
  <c r="M173" i="3" s="1"/>
  <c r="N173" i="3" s="1"/>
  <c r="T10" i="2"/>
  <c r="T9" i="2" s="1"/>
  <c r="T3" i="2" s="1"/>
  <c r="I721" i="2"/>
  <c r="F66" i="3"/>
  <c r="O724" i="2"/>
  <c r="N280" i="2"/>
  <c r="I737" i="2"/>
  <c r="BT424" i="2"/>
  <c r="BT338" i="2" s="1"/>
  <c r="BT280" i="2" s="1"/>
  <c r="BT738" i="2"/>
  <c r="BE734" i="2"/>
  <c r="BW86" i="2"/>
  <c r="BU86" i="2"/>
  <c r="BU159" i="2"/>
  <c r="BU158" i="2" s="1"/>
  <c r="BP158" i="2"/>
  <c r="W160" i="2"/>
  <c r="W742" i="2" s="1"/>
  <c r="BR161" i="2"/>
  <c r="BU250" i="2"/>
  <c r="BU249" i="2" s="1"/>
  <c r="BP249" i="2"/>
  <c r="BQ479" i="2"/>
  <c r="BS480" i="2"/>
  <c r="X655" i="2"/>
  <c r="O745" i="2"/>
  <c r="X745" i="2" s="1"/>
  <c r="BW701" i="2"/>
  <c r="BU701" i="2"/>
  <c r="BS705" i="2"/>
  <c r="BQ704" i="2"/>
  <c r="BQ185" i="2"/>
  <c r="BS186" i="2"/>
  <c r="BQ266" i="2"/>
  <c r="BS267" i="2"/>
  <c r="BR506" i="2"/>
  <c r="BR505" i="2" s="1"/>
  <c r="BR490" i="2" s="1"/>
  <c r="BS507" i="2"/>
  <c r="BT747" i="2"/>
  <c r="BR268" i="2"/>
  <c r="BR739" i="2"/>
  <c r="U490" i="2"/>
  <c r="J526" i="2"/>
  <c r="BU666" i="2"/>
  <c r="BU665" i="2" s="1"/>
  <c r="BP665" i="2"/>
  <c r="BU174" i="2"/>
  <c r="BW174" i="2"/>
  <c r="BN268" i="2"/>
  <c r="BU316" i="2"/>
  <c r="BP315" i="2"/>
  <c r="BQ356" i="2"/>
  <c r="BS357" i="2"/>
  <c r="BU357" i="2"/>
  <c r="BU356" i="2" s="1"/>
  <c r="BP356" i="2"/>
  <c r="AD734" i="2"/>
  <c r="U11" i="2"/>
  <c r="BQ12" i="2"/>
  <c r="BU685" i="2"/>
  <c r="Y736" i="2"/>
  <c r="BS133" i="2"/>
  <c r="BQ132" i="2"/>
  <c r="BW18" i="2"/>
  <c r="BU18" i="2"/>
  <c r="V737" i="2"/>
  <c r="BU466" i="2"/>
  <c r="BU465" i="2" s="1"/>
  <c r="BP465" i="2"/>
  <c r="BQ472" i="2"/>
  <c r="BS473" i="2"/>
  <c r="BU646" i="2"/>
  <c r="BW646" i="2"/>
  <c r="BS666" i="2"/>
  <c r="BQ665" i="2"/>
  <c r="V539" i="2"/>
  <c r="O738" i="2"/>
  <c r="X738" i="2" s="1"/>
  <c r="BU213" i="2"/>
  <c r="BW213" i="2"/>
  <c r="X281" i="2"/>
  <c r="BS256" i="2"/>
  <c r="BQ255" i="2"/>
  <c r="BU494" i="2"/>
  <c r="BU493" i="2" s="1"/>
  <c r="BP493" i="2"/>
  <c r="Y540" i="2"/>
  <c r="P539" i="2"/>
  <c r="Y539" i="2" s="1"/>
  <c r="O576" i="2"/>
  <c r="X576" i="2" s="1"/>
  <c r="BQ502" i="2"/>
  <c r="BS503" i="2"/>
  <c r="BP334" i="2"/>
  <c r="BU335" i="2"/>
  <c r="BU334" i="2" s="1"/>
  <c r="S280" i="2"/>
  <c r="BR430" i="2"/>
  <c r="W426" i="2"/>
  <c r="W425" i="2" s="1"/>
  <c r="W424" i="2" s="1"/>
  <c r="BQ484" i="2"/>
  <c r="BS485" i="2"/>
  <c r="U581" i="2"/>
  <c r="BR576" i="2"/>
  <c r="V747" i="2"/>
  <c r="U330" i="2"/>
  <c r="BS335" i="2"/>
  <c r="BQ334" i="2"/>
  <c r="BU354" i="2"/>
  <c r="BU353" i="2" s="1"/>
  <c r="BU352" i="2" s="1"/>
  <c r="BP353" i="2"/>
  <c r="BW396" i="2"/>
  <c r="BU396" i="2"/>
  <c r="BW449" i="2"/>
  <c r="BU449" i="2"/>
  <c r="BS463" i="2"/>
  <c r="BQ462" i="2"/>
  <c r="BS580" i="2"/>
  <c r="BQ579" i="2"/>
  <c r="X541" i="2"/>
  <c r="O540" i="2"/>
  <c r="J541" i="2"/>
  <c r="BU605" i="2"/>
  <c r="BW605" i="2"/>
  <c r="BS578" i="2"/>
  <c r="BQ577" i="2"/>
  <c r="I661" i="2"/>
  <c r="J661" i="2"/>
  <c r="BT10" i="2"/>
  <c r="V127" i="2"/>
  <c r="BN747" i="2"/>
  <c r="J253" i="2"/>
  <c r="I253" i="2"/>
  <c r="U259" i="2"/>
  <c r="BQ287" i="2"/>
  <c r="BS288" i="2"/>
  <c r="AZ734" i="2"/>
  <c r="BP12" i="2"/>
  <c r="BN11" i="2"/>
  <c r="V10" i="2"/>
  <c r="AT734" i="2"/>
  <c r="BU176" i="2"/>
  <c r="BU175" i="2" s="1"/>
  <c r="BP175" i="2"/>
  <c r="V281" i="2"/>
  <c r="V280" i="2" s="1"/>
  <c r="BU288" i="2"/>
  <c r="BU287" i="2" s="1"/>
  <c r="BP287" i="2"/>
  <c r="W359" i="2"/>
  <c r="BR360" i="2"/>
  <c r="Q450" i="2"/>
  <c r="Z450" i="2" s="1"/>
  <c r="Z451" i="2"/>
  <c r="O513" i="2"/>
  <c r="X514" i="2"/>
  <c r="BU407" i="2"/>
  <c r="W451" i="2"/>
  <c r="BN544" i="2"/>
  <c r="BP545" i="2"/>
  <c r="BS708" i="2"/>
  <c r="BQ707" i="2"/>
  <c r="Z736" i="2"/>
  <c r="V744" i="2"/>
  <c r="BU77" i="2"/>
  <c r="W744" i="2"/>
  <c r="U746" i="2"/>
  <c r="BN281" i="2"/>
  <c r="BP253" i="2"/>
  <c r="BU254" i="2"/>
  <c r="BU253" i="2" s="1"/>
  <c r="U339" i="2"/>
  <c r="U338" i="2" s="1"/>
  <c r="Y339" i="2"/>
  <c r="P450" i="2"/>
  <c r="Y450" i="2" s="1"/>
  <c r="BU509" i="2"/>
  <c r="BP508" i="2"/>
  <c r="BP505" i="2" s="1"/>
  <c r="BT502" i="2"/>
  <c r="BT490" i="2" s="1"/>
  <c r="BW504" i="2"/>
  <c r="BQ482" i="2"/>
  <c r="BQ481" i="2" s="1"/>
  <c r="BS483" i="2"/>
  <c r="F13" i="3"/>
  <c r="G539" i="2"/>
  <c r="I540" i="2"/>
  <c r="J540" i="2"/>
  <c r="U689" i="2"/>
  <c r="BU676" i="2"/>
  <c r="BW676" i="2"/>
  <c r="BO160" i="2"/>
  <c r="BP161" i="2"/>
  <c r="W746" i="2"/>
  <c r="Z167" i="2"/>
  <c r="BS208" i="2"/>
  <c r="BQ207" i="2"/>
  <c r="BQ739" i="2" s="1"/>
  <c r="BS274" i="2"/>
  <c r="BQ273" i="2"/>
  <c r="BS283" i="2"/>
  <c r="BQ282" i="2"/>
  <c r="BP360" i="2"/>
  <c r="BU427" i="2"/>
  <c r="BP426" i="2"/>
  <c r="BP425" i="2" s="1"/>
  <c r="BP424" i="2" s="1"/>
  <c r="BW427" i="2"/>
  <c r="BU478" i="2"/>
  <c r="BU477" i="2" s="1"/>
  <c r="BP477" i="2"/>
  <c r="BU492" i="2"/>
  <c r="BU491" i="2" s="1"/>
  <c r="BP491" i="2"/>
  <c r="BR554" i="2"/>
  <c r="BR539" i="2" s="1"/>
  <c r="Q661" i="2"/>
  <c r="Z661" i="2" s="1"/>
  <c r="BW598" i="2"/>
  <c r="BU598" i="2"/>
  <c r="BQ551" i="2"/>
  <c r="BS552" i="2"/>
  <c r="G735" i="2"/>
  <c r="I736" i="2"/>
  <c r="BR736" i="2"/>
  <c r="BR4" i="2"/>
  <c r="W747" i="2"/>
  <c r="BU133" i="2"/>
  <c r="BP132" i="2"/>
  <c r="BP209" i="2"/>
  <c r="BP204" i="2" s="1"/>
  <c r="U108" i="2"/>
  <c r="U743" i="2" s="1"/>
  <c r="AL734" i="2"/>
  <c r="BV210" i="2"/>
  <c r="BS209" i="2"/>
  <c r="BN259" i="2"/>
  <c r="BU267" i="2"/>
  <c r="BU266" i="2" s="1"/>
  <c r="BP266" i="2"/>
  <c r="BS349" i="2"/>
  <c r="BV349" i="2" s="1"/>
  <c r="BW349" i="2" s="1"/>
  <c r="BQ347" i="2"/>
  <c r="BU351" i="2"/>
  <c r="BU350" i="2" s="1"/>
  <c r="BP350" i="2"/>
  <c r="O424" i="2"/>
  <c r="X424" i="2" s="1"/>
  <c r="X425" i="2"/>
  <c r="BU433" i="2"/>
  <c r="BW433" i="2"/>
  <c r="BQ416" i="2"/>
  <c r="BW546" i="2"/>
  <c r="BT544" i="2"/>
  <c r="BT540" i="2" s="1"/>
  <c r="BQ508" i="2"/>
  <c r="BQ505" i="2" s="1"/>
  <c r="BS509" i="2"/>
  <c r="BQ498" i="2"/>
  <c r="BS499" i="2"/>
  <c r="BQ524" i="2"/>
  <c r="BS525" i="2"/>
  <c r="BU658" i="2"/>
  <c r="BU657" i="2" s="1"/>
  <c r="BP657" i="2"/>
  <c r="BU647" i="2"/>
  <c r="BW647" i="2"/>
  <c r="BR689" i="2"/>
  <c r="BU6" i="2"/>
  <c r="BU5" i="2" s="1"/>
  <c r="BP5" i="2"/>
  <c r="AB734" i="2"/>
  <c r="BQ122" i="2"/>
  <c r="BS123" i="2"/>
  <c r="O259" i="2"/>
  <c r="X259" i="2" s="1"/>
  <c r="BS337" i="2"/>
  <c r="BQ336" i="2"/>
  <c r="BW305" i="2"/>
  <c r="BU305" i="2"/>
  <c r="P425" i="2"/>
  <c r="Y426" i="2"/>
  <c r="BP416" i="2"/>
  <c r="BU417" i="2"/>
  <c r="BU416" i="2" s="1"/>
  <c r="J505" i="2"/>
  <c r="I505" i="2"/>
  <c r="BU499" i="2"/>
  <c r="BU498" i="2" s="1"/>
  <c r="BP498" i="2"/>
  <c r="BQ533" i="2"/>
  <c r="BS534" i="2"/>
  <c r="BP650" i="2"/>
  <c r="BN648" i="2"/>
  <c r="BS395" i="2"/>
  <c r="BQ394" i="2"/>
  <c r="BS76" i="2"/>
  <c r="BV77" i="2"/>
  <c r="BV76" i="2" s="1"/>
  <c r="BS15" i="2"/>
  <c r="BQ14" i="2"/>
  <c r="J167" i="2"/>
  <c r="I167" i="2"/>
  <c r="G166" i="2"/>
  <c r="C36" i="3" s="1"/>
  <c r="BR216" i="2"/>
  <c r="BR166" i="2" s="1"/>
  <c r="BU264" i="2"/>
  <c r="BU263" i="2" s="1"/>
  <c r="BP263" i="2"/>
  <c r="BR417" i="2"/>
  <c r="BR416" i="2" s="1"/>
  <c r="W416" i="2"/>
  <c r="U425" i="2"/>
  <c r="U424" i="2" s="1"/>
  <c r="BQ493" i="2"/>
  <c r="BS494" i="2"/>
  <c r="AO734" i="2"/>
  <c r="BQ555" i="2"/>
  <c r="BS556" i="2"/>
  <c r="J740" i="2"/>
  <c r="I740" i="2"/>
  <c r="BS114" i="2"/>
  <c r="BQ113" i="2"/>
  <c r="BS671" i="2"/>
  <c r="BQ670" i="2"/>
  <c r="BS237" i="2"/>
  <c r="BV238" i="2"/>
  <c r="Q358" i="2"/>
  <c r="Z359" i="2"/>
  <c r="Q737" i="2"/>
  <c r="Z737" i="2" s="1"/>
  <c r="X642" i="2"/>
  <c r="J642" i="2"/>
  <c r="Y374" i="2"/>
  <c r="P371" i="2"/>
  <c r="Y371" i="2" s="1"/>
  <c r="BS453" i="2"/>
  <c r="BQ452" i="2"/>
  <c r="F7" i="3"/>
  <c r="I246" i="2"/>
  <c r="J246" i="2"/>
  <c r="Z281" i="2"/>
  <c r="J471" i="2"/>
  <c r="I471" i="2"/>
  <c r="BQ545" i="2"/>
  <c r="U544" i="2"/>
  <c r="U737" i="2" s="1"/>
  <c r="J581" i="2"/>
  <c r="BN655" i="2"/>
  <c r="BP656" i="2"/>
  <c r="BS65" i="2"/>
  <c r="BQ64" i="2"/>
  <c r="U246" i="2"/>
  <c r="BU65" i="2"/>
  <c r="BU64" i="2" s="1"/>
  <c r="BP64" i="2"/>
  <c r="F33" i="3"/>
  <c r="K719" i="2"/>
  <c r="G723" i="2" s="1"/>
  <c r="I723" i="2" s="1"/>
  <c r="I4" i="2"/>
  <c r="K3" i="2"/>
  <c r="X11" i="2"/>
  <c r="O10" i="2"/>
  <c r="J11" i="2"/>
  <c r="BT741" i="2"/>
  <c r="X167" i="2"/>
  <c r="BT155" i="2"/>
  <c r="BT150" i="2" s="1"/>
  <c r="BT127" i="2" s="1"/>
  <c r="BW157" i="2"/>
  <c r="BW106" i="2"/>
  <c r="BU106" i="2"/>
  <c r="BU104" i="2" s="1"/>
  <c r="BP104" i="2"/>
  <c r="BS272" i="2"/>
  <c r="BQ271" i="2"/>
  <c r="BR451" i="2"/>
  <c r="BR450" i="2" s="1"/>
  <c r="BQ469" i="2"/>
  <c r="BS470" i="2"/>
  <c r="BS571" i="2"/>
  <c r="BV571" i="2" s="1"/>
  <c r="J481" i="2"/>
  <c r="I481" i="2"/>
  <c r="BW641" i="2"/>
  <c r="BU641" i="2"/>
  <c r="BU691" i="2"/>
  <c r="BP690" i="2"/>
  <c r="BP689" i="2" s="1"/>
  <c r="BS686" i="2"/>
  <c r="BQ685" i="2"/>
  <c r="BW713" i="2"/>
  <c r="BU713" i="2"/>
  <c r="F34" i="3"/>
  <c r="BW30" i="2"/>
  <c r="BU30" i="2"/>
  <c r="BQ120" i="2"/>
  <c r="BS121" i="2"/>
  <c r="F35" i="3"/>
  <c r="I166" i="2"/>
  <c r="BQ340" i="2"/>
  <c r="BS341" i="2"/>
  <c r="BU341" i="2"/>
  <c r="BU340" i="2" s="1"/>
  <c r="BP340" i="2"/>
  <c r="BN513" i="2"/>
  <c r="BU631" i="2"/>
  <c r="BW631" i="2"/>
  <c r="V661" i="2"/>
  <c r="BQ690" i="2"/>
  <c r="BS691" i="2"/>
  <c r="BS466" i="2"/>
  <c r="BQ465" i="2"/>
  <c r="BU190" i="2"/>
  <c r="BU189" i="2" s="1"/>
  <c r="BP189" i="2"/>
  <c r="M93" i="3"/>
  <c r="L120" i="3" s="1"/>
  <c r="N120" i="3" s="1"/>
  <c r="Y167" i="2"/>
  <c r="I742" i="2"/>
  <c r="J742" i="2"/>
  <c r="Z160" i="2"/>
  <c r="Q742" i="2"/>
  <c r="Z742" i="2" s="1"/>
  <c r="BU326" i="2"/>
  <c r="BU325" i="2" s="1"/>
  <c r="BP325" i="2"/>
  <c r="BU291" i="2"/>
  <c r="BP290" i="2"/>
  <c r="U281" i="2"/>
  <c r="BV370" i="2"/>
  <c r="BV369" i="2" s="1"/>
  <c r="BS369" i="2"/>
  <c r="BQ418" i="2"/>
  <c r="BS419" i="2"/>
  <c r="BW567" i="2"/>
  <c r="BW566" i="2" s="1"/>
  <c r="E3" i="2"/>
  <c r="E734" i="2" s="1"/>
  <c r="I33" i="3"/>
  <c r="X4" i="2"/>
  <c r="J4" i="2"/>
  <c r="W736" i="2"/>
  <c r="W4" i="2"/>
  <c r="J127" i="2"/>
  <c r="I127" i="2"/>
  <c r="BU114" i="2"/>
  <c r="BU113" i="2" s="1"/>
  <c r="BP113" i="2"/>
  <c r="BQ153" i="2"/>
  <c r="BQ150" i="2" s="1"/>
  <c r="BS154" i="2"/>
  <c r="BP255" i="2"/>
  <c r="BU256" i="2"/>
  <c r="BU255" i="2" s="1"/>
  <c r="O338" i="2"/>
  <c r="X338" i="2" s="1"/>
  <c r="X339" i="2"/>
  <c r="BO358" i="2"/>
  <c r="BO338" i="2" s="1"/>
  <c r="BO280" i="2" s="1"/>
  <c r="BO737" i="2"/>
  <c r="BR394" i="2"/>
  <c r="BR740" i="2" s="1"/>
  <c r="U371" i="2"/>
  <c r="BQ475" i="2"/>
  <c r="BS476" i="2"/>
  <c r="W738" i="2"/>
  <c r="BV156" i="2"/>
  <c r="BS155" i="2"/>
  <c r="U745" i="2"/>
  <c r="AG734" i="2"/>
  <c r="BQ171" i="2"/>
  <c r="BS172" i="2"/>
  <c r="F10" i="3"/>
  <c r="I5" i="3"/>
  <c r="J339" i="2"/>
  <c r="I339" i="2"/>
  <c r="P259" i="2"/>
  <c r="Y259" i="2" s="1"/>
  <c r="BU419" i="2"/>
  <c r="BU418" i="2" s="1"/>
  <c r="BP418" i="2"/>
  <c r="I554" i="2"/>
  <c r="J554" i="2"/>
  <c r="BU552" i="2"/>
  <c r="BU551" i="2" s="1"/>
  <c r="BP551" i="2"/>
  <c r="BU591" i="2"/>
  <c r="BU581" i="2" s="1"/>
  <c r="BW591" i="2"/>
  <c r="J689" i="2"/>
  <c r="I689" i="2"/>
  <c r="C9" i="3"/>
  <c r="H734" i="2"/>
  <c r="BT739" i="2"/>
  <c r="BT204" i="2"/>
  <c r="W167" i="2"/>
  <c r="BU332" i="2"/>
  <c r="BU331" i="2" s="1"/>
  <c r="BU330" i="2" s="1"/>
  <c r="BP331" i="2"/>
  <c r="BR371" i="2"/>
  <c r="BQ425" i="2"/>
  <c r="BQ424" i="2" s="1"/>
  <c r="BO394" i="2"/>
  <c r="BO371" i="2" s="1"/>
  <c r="J461" i="2"/>
  <c r="I461" i="2"/>
  <c r="BU670" i="2"/>
  <c r="L63" i="3"/>
  <c r="M728" i="2"/>
  <c r="N723" i="2" s="1"/>
  <c r="M63" i="3" s="1"/>
  <c r="BU154" i="2"/>
  <c r="BU153" i="2" s="1"/>
  <c r="BP153" i="2"/>
  <c r="X569" i="2"/>
  <c r="J569" i="2"/>
  <c r="BW45" i="2"/>
  <c r="BU45" i="2"/>
  <c r="I739" i="2"/>
  <c r="J739" i="2"/>
  <c r="Y281" i="2"/>
  <c r="BU401" i="2"/>
  <c r="BW401" i="2"/>
  <c r="BO741" i="2"/>
  <c r="M117" i="3"/>
  <c r="BK734" i="2"/>
  <c r="J204" i="2"/>
  <c r="I204" i="2"/>
  <c r="BW284" i="2"/>
  <c r="BU284" i="2"/>
  <c r="BS218" i="2"/>
  <c r="BQ217" i="2"/>
  <c r="BQ216" i="2" s="1"/>
  <c r="U736" i="2"/>
  <c r="U4" i="2"/>
  <c r="I63" i="3"/>
  <c r="AA734" i="2"/>
  <c r="BU292" i="2"/>
  <c r="BW292" i="2"/>
  <c r="BU274" i="2"/>
  <c r="BU273" i="2" s="1"/>
  <c r="BP273" i="2"/>
  <c r="W576" i="2"/>
  <c r="V736" i="2"/>
  <c r="M734" i="2"/>
  <c r="BS324" i="2"/>
  <c r="BQ323" i="2"/>
  <c r="BU216" i="2"/>
  <c r="BP84" i="2"/>
  <c r="BN76" i="2"/>
  <c r="BQ175" i="2"/>
  <c r="BS176" i="2"/>
  <c r="BU456" i="2"/>
  <c r="BU455" i="2" s="1"/>
  <c r="BU451" i="2" s="1"/>
  <c r="BP455" i="2"/>
  <c r="BP451" i="2" s="1"/>
  <c r="BP450" i="2" s="1"/>
  <c r="BU149" i="2"/>
  <c r="BU148" i="2" s="1"/>
  <c r="BP148" i="2"/>
  <c r="BN171" i="2"/>
  <c r="BN167" i="2" s="1"/>
  <c r="BN166" i="2" s="1"/>
  <c r="BQ312" i="2"/>
  <c r="BS313" i="2"/>
  <c r="Z4" i="2"/>
  <c r="BN739" i="2"/>
  <c r="BQ290" i="2"/>
  <c r="BS291" i="2"/>
  <c r="BU461" i="2"/>
  <c r="N176" i="3"/>
  <c r="BW278" i="2"/>
  <c r="BU278" i="2"/>
  <c r="Q371" i="2"/>
  <c r="Z371" i="2" s="1"/>
  <c r="BS375" i="2"/>
  <c r="BQ374" i="2"/>
  <c r="BU599" i="2"/>
  <c r="BW599" i="2"/>
  <c r="K735" i="2"/>
  <c r="BN742" i="2"/>
  <c r="BS105" i="2"/>
  <c r="BQ104" i="2"/>
  <c r="BD734" i="2"/>
  <c r="BS149" i="2"/>
  <c r="BQ148" i="2"/>
  <c r="BU237" i="2"/>
  <c r="I746" i="2"/>
  <c r="J746" i="2"/>
  <c r="W745" i="2"/>
  <c r="BQ353" i="2"/>
  <c r="BQ352" i="2" s="1"/>
  <c r="BS354" i="2"/>
  <c r="BQ249" i="2"/>
  <c r="BS250" i="2"/>
  <c r="BU405" i="2"/>
  <c r="BW405" i="2"/>
  <c r="BU421" i="2"/>
  <c r="BU420" i="2" s="1"/>
  <c r="BP420" i="2"/>
  <c r="BS468" i="2"/>
  <c r="BQ467" i="2"/>
  <c r="BP571" i="2"/>
  <c r="BN569" i="2"/>
  <c r="BN554" i="2" s="1"/>
  <c r="BN526" i="2"/>
  <c r="U554" i="2"/>
  <c r="BW589" i="2"/>
  <c r="BU589" i="2"/>
  <c r="J747" i="2"/>
  <c r="I747" i="2"/>
  <c r="BR10" i="2"/>
  <c r="BF734" i="2"/>
  <c r="BV152" i="2"/>
  <c r="BV151" i="2" s="1"/>
  <c r="BS151" i="2"/>
  <c r="BJ734" i="2"/>
  <c r="BW134" i="2"/>
  <c r="BU134" i="2"/>
  <c r="BQ137" i="2"/>
  <c r="BS138" i="2"/>
  <c r="BS190" i="2"/>
  <c r="BQ189" i="2"/>
  <c r="BU272" i="2"/>
  <c r="BU271" i="2" s="1"/>
  <c r="BP271" i="2"/>
  <c r="BW265" i="2"/>
  <c r="BU265" i="2"/>
  <c r="BN339" i="2"/>
  <c r="BN338" i="2" s="1"/>
  <c r="Z426" i="2"/>
  <c r="Q425" i="2"/>
  <c r="BP515" i="2"/>
  <c r="BP514" i="2" s="1"/>
  <c r="BU516" i="2"/>
  <c r="BU515" i="2" s="1"/>
  <c r="BU514" i="2" s="1"/>
  <c r="BS456" i="2"/>
  <c r="BQ455" i="2"/>
  <c r="BP581" i="2"/>
  <c r="BU556" i="2"/>
  <c r="BU555" i="2" s="1"/>
  <c r="BP555" i="2"/>
  <c r="BQ643" i="2"/>
  <c r="U642" i="2"/>
  <c r="BT662" i="2"/>
  <c r="BT661" i="2" s="1"/>
  <c r="BS669" i="2"/>
  <c r="BQ667" i="2"/>
  <c r="BP14" i="2"/>
  <c r="J150" i="2"/>
  <c r="I150" i="2"/>
  <c r="L171" i="3"/>
  <c r="S735" i="2"/>
  <c r="U744" i="2"/>
  <c r="BU138" i="2"/>
  <c r="BU137" i="2" s="1"/>
  <c r="BP137" i="2"/>
  <c r="BS187" i="2"/>
  <c r="BV187" i="2" s="1"/>
  <c r="BW187" i="2" s="1"/>
  <c r="BS316" i="2"/>
  <c r="BW318" i="2"/>
  <c r="BU318" i="2"/>
  <c r="W259" i="2"/>
  <c r="BU428" i="2"/>
  <c r="BW428" i="2"/>
  <c r="BQ477" i="2"/>
  <c r="BS478" i="2"/>
  <c r="BS458" i="2"/>
  <c r="BQ457" i="2"/>
  <c r="Y514" i="2"/>
  <c r="P513" i="2"/>
  <c r="BT569" i="2"/>
  <c r="BT554" i="2" s="1"/>
  <c r="BS703" i="2"/>
  <c r="BQ702" i="2"/>
  <c r="BQ5" i="2"/>
  <c r="BO736" i="2"/>
  <c r="BO4" i="2"/>
  <c r="O736" i="2"/>
  <c r="Q740" i="2"/>
  <c r="Z740" i="2" s="1"/>
  <c r="BN744" i="2"/>
  <c r="U127" i="2"/>
  <c r="BU186" i="2"/>
  <c r="BU185" i="2" s="1"/>
  <c r="BU184" i="2" s="1"/>
  <c r="BP185" i="2"/>
  <c r="BP184" i="2" s="1"/>
  <c r="W394" i="2"/>
  <c r="W371" i="2" s="1"/>
  <c r="BQ372" i="2"/>
  <c r="BS373" i="2"/>
  <c r="BS460" i="2"/>
  <c r="BQ459" i="2"/>
  <c r="BU580" i="2"/>
  <c r="BU579" i="2" s="1"/>
  <c r="BP579" i="2"/>
  <c r="BW604" i="2"/>
  <c r="BU604" i="2"/>
  <c r="BN642" i="2"/>
  <c r="BN740" i="2" s="1"/>
  <c r="BP643" i="2"/>
  <c r="J648" i="2"/>
  <c r="BU668" i="2"/>
  <c r="BU667" i="2" s="1"/>
  <c r="BP667" i="2"/>
  <c r="BW668" i="2"/>
  <c r="BU129" i="2"/>
  <c r="BU128" i="2" s="1"/>
  <c r="BP128" i="2"/>
  <c r="J744" i="2"/>
  <c r="I744" i="2"/>
  <c r="AM735" i="2"/>
  <c r="AM734" i="2" s="1"/>
  <c r="BQ118" i="2"/>
  <c r="BS119" i="2"/>
  <c r="BU337" i="2"/>
  <c r="BU336" i="2" s="1"/>
  <c r="BP336" i="2"/>
  <c r="U171" i="2"/>
  <c r="U741" i="2" s="1"/>
  <c r="BU346" i="2"/>
  <c r="BU345" i="2" s="1"/>
  <c r="BP345" i="2"/>
  <c r="BQ263" i="2"/>
  <c r="BS264" i="2"/>
  <c r="BQ310" i="2"/>
  <c r="BS311" i="2"/>
  <c r="BW387" i="2"/>
  <c r="BU387" i="2"/>
  <c r="BU374" i="2" s="1"/>
  <c r="BN371" i="2"/>
  <c r="BW488" i="2"/>
  <c r="BU488" i="2"/>
  <c r="BU486" i="2" s="1"/>
  <c r="BP486" i="2"/>
  <c r="BU468" i="2"/>
  <c r="BU467" i="2" s="1"/>
  <c r="BP467" i="2"/>
  <c r="BU562" i="2"/>
  <c r="BP707" i="2"/>
  <c r="BU708" i="2"/>
  <c r="BP216" i="2"/>
  <c r="BU692" i="2"/>
  <c r="BW692" i="2"/>
  <c r="BT736" i="2"/>
  <c r="P743" i="2"/>
  <c r="Y743" i="2" s="1"/>
  <c r="Y108" i="2"/>
  <c r="H722" i="2"/>
  <c r="J722" i="2" s="1"/>
  <c r="J718" i="2"/>
  <c r="Q127" i="2"/>
  <c r="BN330" i="2"/>
  <c r="X352" i="2"/>
  <c r="J352" i="2"/>
  <c r="BU458" i="2"/>
  <c r="BU457" i="2" s="1"/>
  <c r="BP457" i="2"/>
  <c r="I425" i="2"/>
  <c r="G424" i="2"/>
  <c r="J425" i="2"/>
  <c r="BS408" i="2"/>
  <c r="BQ407" i="2"/>
  <c r="BQ486" i="2"/>
  <c r="BS487" i="2"/>
  <c r="BQ648" i="2"/>
  <c r="BS649" i="2"/>
  <c r="BG734" i="2"/>
  <c r="F63" i="3"/>
  <c r="C65" i="3"/>
  <c r="L90" i="3"/>
  <c r="BT737" i="2"/>
  <c r="BS656" i="2"/>
  <c r="BQ655" i="2"/>
  <c r="AI734" i="2"/>
  <c r="BV327" i="2"/>
  <c r="BW328" i="2"/>
  <c r="BW327" i="2" s="1"/>
  <c r="I518" i="2"/>
  <c r="J518" i="2"/>
  <c r="G514" i="2"/>
  <c r="BS248" i="2"/>
  <c r="BQ247" i="2"/>
  <c r="I576" i="2"/>
  <c r="J576" i="2"/>
  <c r="BU14" i="2"/>
  <c r="BR259" i="2"/>
  <c r="BO512" i="2"/>
  <c r="Q513" i="2"/>
  <c r="Z514" i="2"/>
  <c r="C34" i="3"/>
  <c r="BS129" i="2"/>
  <c r="BQ128" i="2"/>
  <c r="BN737" i="2"/>
  <c r="I490" i="2"/>
  <c r="J490" i="2"/>
  <c r="BU476" i="2"/>
  <c r="BU475" i="2" s="1"/>
  <c r="BU471" i="2" s="1"/>
  <c r="BP475" i="2"/>
  <c r="BQ581" i="2"/>
  <c r="BS582" i="2"/>
  <c r="BQ662" i="2"/>
  <c r="BS663" i="2"/>
  <c r="J741" i="2"/>
  <c r="I741" i="2"/>
  <c r="BW152" i="2"/>
  <c r="BW151" i="2" s="1"/>
  <c r="BU152" i="2"/>
  <c r="BU151" i="2" s="1"/>
  <c r="BP151" i="2"/>
  <c r="BP372" i="2"/>
  <c r="BU373" i="2"/>
  <c r="BU372" i="2" s="1"/>
  <c r="BS563" i="2"/>
  <c r="BQ562" i="2"/>
  <c r="AX734" i="2"/>
  <c r="BS159" i="2"/>
  <c r="BQ158" i="2"/>
  <c r="M171" i="3"/>
  <c r="BU195" i="2"/>
  <c r="J358" i="2"/>
  <c r="I358" i="2"/>
  <c r="BS437" i="2"/>
  <c r="BQ436" i="2"/>
  <c r="BR514" i="2"/>
  <c r="S216" i="2"/>
  <c r="S166" i="2" s="1"/>
  <c r="S3" i="2" s="1"/>
  <c r="X330" i="2"/>
  <c r="J330" i="2"/>
  <c r="V738" i="2"/>
  <c r="J10" i="2"/>
  <c r="I10" i="2"/>
  <c r="G9" i="2"/>
  <c r="C35" i="3" s="1"/>
  <c r="BQ495" i="2"/>
  <c r="BS496" i="2"/>
  <c r="BR661" i="2"/>
  <c r="BU209" i="2"/>
  <c r="BS206" i="2"/>
  <c r="BQ205" i="2"/>
  <c r="BU510" i="2"/>
  <c r="BW510" i="2"/>
  <c r="BS516" i="2"/>
  <c r="BQ515" i="2"/>
  <c r="BQ541" i="2"/>
  <c r="BS542" i="2"/>
  <c r="BS570" i="2"/>
  <c r="BQ569" i="2"/>
  <c r="U661" i="2"/>
  <c r="I66" i="3"/>
  <c r="I728" i="2"/>
  <c r="BN150" i="2"/>
  <c r="BS270" i="2"/>
  <c r="BQ269" i="2"/>
  <c r="BQ268" i="2" s="1"/>
  <c r="G450" i="2"/>
  <c r="J451" i="2"/>
  <c r="I451" i="2"/>
  <c r="BQ491" i="2"/>
  <c r="BQ490" i="2" s="1"/>
  <c r="BS492" i="2"/>
  <c r="BW601" i="2"/>
  <c r="BU601" i="2"/>
  <c r="BQ195" i="2"/>
  <c r="BP269" i="2"/>
  <c r="BU270" i="2"/>
  <c r="BU269" i="2" s="1"/>
  <c r="BU361" i="2"/>
  <c r="BW361" i="2"/>
  <c r="AV734" i="2"/>
  <c r="W740" i="2"/>
  <c r="J259" i="2"/>
  <c r="I259" i="2"/>
  <c r="I184" i="2"/>
  <c r="J184" i="2"/>
  <c r="O741" i="2"/>
  <c r="X741" i="2" s="1"/>
  <c r="X76" i="2"/>
  <c r="BU172" i="2"/>
  <c r="BU171" i="2" s="1"/>
  <c r="BP171" i="2"/>
  <c r="BW195" i="2"/>
  <c r="BR743" i="2"/>
  <c r="BT240" i="2"/>
  <c r="V237" i="2"/>
  <c r="V216" i="2" s="1"/>
  <c r="V166" i="2" s="1"/>
  <c r="N145" i="3"/>
  <c r="BS254" i="2"/>
  <c r="BQ253" i="2"/>
  <c r="BN745" i="2"/>
  <c r="BQ350" i="2"/>
  <c r="BS351" i="2"/>
  <c r="BO451" i="2"/>
  <c r="BO450" i="2" s="1"/>
  <c r="V526" i="2"/>
  <c r="V513" i="2" s="1"/>
  <c r="V512" i="2" s="1"/>
  <c r="W514" i="2"/>
  <c r="W513" i="2" s="1"/>
  <c r="W512" i="2" s="1"/>
  <c r="BS519" i="2"/>
  <c r="BQ518" i="2"/>
  <c r="BN581" i="2"/>
  <c r="BQ535" i="2"/>
  <c r="BQ526" i="2" s="1"/>
  <c r="BS536" i="2"/>
  <c r="BW141" i="2"/>
  <c r="BU141" i="2"/>
  <c r="BT744" i="2"/>
  <c r="BP168" i="2"/>
  <c r="BP167" i="2" s="1"/>
  <c r="BU169" i="2"/>
  <c r="BU168" i="2" s="1"/>
  <c r="U740" i="2"/>
  <c r="BS163" i="2"/>
  <c r="BV164" i="2"/>
  <c r="BU283" i="2"/>
  <c r="BU282" i="2" s="1"/>
  <c r="BP282" i="2"/>
  <c r="BS326" i="2"/>
  <c r="BQ325" i="2"/>
  <c r="BU460" i="2"/>
  <c r="BU459" i="2" s="1"/>
  <c r="BP459" i="2"/>
  <c r="Q490" i="2"/>
  <c r="Z490" i="2" s="1"/>
  <c r="BU470" i="2"/>
  <c r="BU469" i="2" s="1"/>
  <c r="BP469" i="2"/>
  <c r="BP461" i="2" s="1"/>
  <c r="U481" i="2"/>
  <c r="BU536" i="2"/>
  <c r="BU535" i="2" s="1"/>
  <c r="BP535" i="2"/>
  <c r="BP526" i="2" s="1"/>
  <c r="AJ734" i="2"/>
  <c r="N175" i="3"/>
  <c r="BP111" i="2"/>
  <c r="BN108" i="2"/>
  <c r="BN743" i="2" s="1"/>
  <c r="U739" i="2"/>
  <c r="BR746" i="2"/>
  <c r="BR347" i="2"/>
  <c r="BR741" i="2" s="1"/>
  <c r="BS348" i="2"/>
  <c r="W461" i="2"/>
  <c r="U526" i="2"/>
  <c r="U513" i="2" s="1"/>
  <c r="BR526" i="2"/>
  <c r="BQ522" i="2"/>
  <c r="BS523" i="2"/>
  <c r="BU534" i="2"/>
  <c r="BU533" i="2" s="1"/>
  <c r="BU526" i="2" s="1"/>
  <c r="BP533" i="2"/>
  <c r="BS109" i="2"/>
  <c r="BQ108" i="2"/>
  <c r="BQ743" i="2" s="1"/>
  <c r="O737" i="2"/>
  <c r="X737" i="2" s="1"/>
  <c r="BU204" i="2"/>
  <c r="U204" i="2"/>
  <c r="BU430" i="2"/>
  <c r="BQ420" i="2"/>
  <c r="BS421" i="2"/>
  <c r="BP471" i="2"/>
  <c r="BS528" i="2"/>
  <c r="BU610" i="2"/>
  <c r="BW610" i="2"/>
  <c r="BS658" i="2"/>
  <c r="BQ657" i="2"/>
  <c r="BN4" i="2"/>
  <c r="BO167" i="2"/>
  <c r="BO166" i="2" s="1"/>
  <c r="BU96" i="2"/>
  <c r="BW96" i="2"/>
  <c r="U747" i="2"/>
  <c r="W204" i="2"/>
  <c r="J281" i="2"/>
  <c r="I281" i="2"/>
  <c r="BS332" i="2"/>
  <c r="BQ331" i="2"/>
  <c r="BQ330" i="2" s="1"/>
  <c r="BW277" i="2"/>
  <c r="BU277" i="2"/>
  <c r="W339" i="2"/>
  <c r="BP394" i="2"/>
  <c r="BU395" i="2"/>
  <c r="BU394" i="2" s="1"/>
  <c r="BU436" i="2"/>
  <c r="U461" i="2"/>
  <c r="U450" i="2" s="1"/>
  <c r="BN541" i="2"/>
  <c r="BN540" i="2" s="1"/>
  <c r="BP542" i="2"/>
  <c r="U576" i="2"/>
  <c r="BS346" i="2"/>
  <c r="BQ345" i="2"/>
  <c r="J738" i="2"/>
  <c r="I738" i="2"/>
  <c r="BQ76" i="2"/>
  <c r="W741" i="2"/>
  <c r="P10" i="2"/>
  <c r="BS110" i="2"/>
  <c r="BV110" i="2" s="1"/>
  <c r="BW110" i="2" s="1"/>
  <c r="BN127" i="2"/>
  <c r="U738" i="2"/>
  <c r="O127" i="2"/>
  <c r="X127" i="2" s="1"/>
  <c r="BS169" i="2"/>
  <c r="BQ168" i="2"/>
  <c r="BQ167" i="2" s="1"/>
  <c r="BU123" i="2"/>
  <c r="BU122" i="2" s="1"/>
  <c r="BP122" i="2"/>
  <c r="J216" i="2"/>
  <c r="I216" i="2"/>
  <c r="W216" i="2"/>
  <c r="W739" i="2"/>
  <c r="BQ260" i="2"/>
  <c r="BQ259" i="2" s="1"/>
  <c r="BS261" i="2"/>
  <c r="BU324" i="2"/>
  <c r="BU323" i="2" s="1"/>
  <c r="BP323" i="2"/>
  <c r="Z268" i="2"/>
  <c r="Q259" i="2"/>
  <c r="Z259" i="2" s="1"/>
  <c r="BP369" i="2"/>
  <c r="BU370" i="2"/>
  <c r="BU369" i="2" s="1"/>
  <c r="BW370" i="2"/>
  <c r="BW369" i="2" s="1"/>
  <c r="X451" i="2"/>
  <c r="O450" i="2"/>
  <c r="X450" i="2" s="1"/>
  <c r="BP670" i="2"/>
  <c r="BP661" i="2" s="1"/>
  <c r="BO738" i="2"/>
  <c r="X743" i="2"/>
  <c r="BO735" i="2" l="1"/>
  <c r="T721" i="2"/>
  <c r="H721" i="2" s="1"/>
  <c r="J721" i="2" s="1"/>
  <c r="M183" i="3"/>
  <c r="R722" i="2"/>
  <c r="R724" i="2" s="1"/>
  <c r="T735" i="2"/>
  <c r="T734" i="2" s="1"/>
  <c r="L144" i="3"/>
  <c r="S734" i="2"/>
  <c r="BU450" i="2"/>
  <c r="BV536" i="2"/>
  <c r="BS535" i="2"/>
  <c r="BP513" i="2"/>
  <c r="BS113" i="2"/>
  <c r="BV114" i="2"/>
  <c r="BW650" i="2"/>
  <c r="BU650" i="2"/>
  <c r="BU648" i="2" s="1"/>
  <c r="BP648" i="2"/>
  <c r="Y425" i="2"/>
  <c r="P424" i="2"/>
  <c r="Y424" i="2" s="1"/>
  <c r="BS462" i="2"/>
  <c r="BV463" i="2"/>
  <c r="BS502" i="2"/>
  <c r="BV503" i="2"/>
  <c r="BS665" i="2"/>
  <c r="BV666" i="2"/>
  <c r="BV357" i="2"/>
  <c r="BS356" i="2"/>
  <c r="BV267" i="2"/>
  <c r="BS266" i="2"/>
  <c r="BV169" i="2"/>
  <c r="BS168" i="2"/>
  <c r="BV346" i="2"/>
  <c r="BS345" i="2"/>
  <c r="U540" i="2"/>
  <c r="U539" i="2" s="1"/>
  <c r="U512" i="2" s="1"/>
  <c r="BS253" i="2"/>
  <c r="BV254" i="2"/>
  <c r="W150" i="2"/>
  <c r="W127" i="2" s="1"/>
  <c r="W9" i="2" s="1"/>
  <c r="BV570" i="2"/>
  <c r="BS569" i="2"/>
  <c r="BV496" i="2"/>
  <c r="BS495" i="2"/>
  <c r="BR513" i="2"/>
  <c r="BR512" i="2" s="1"/>
  <c r="BS562" i="2"/>
  <c r="BV563" i="2"/>
  <c r="BV408" i="2"/>
  <c r="BS407" i="2"/>
  <c r="BV264" i="2"/>
  <c r="BS263" i="2"/>
  <c r="P738" i="2"/>
  <c r="Z425" i="2"/>
  <c r="Q424" i="2"/>
  <c r="Z424" i="2" s="1"/>
  <c r="Q738" i="2"/>
  <c r="Z738" i="2" s="1"/>
  <c r="BS374" i="2"/>
  <c r="BV375" i="2"/>
  <c r="BS290" i="2"/>
  <c r="BV291" i="2"/>
  <c r="BV313" i="2"/>
  <c r="BS312" i="2"/>
  <c r="BN741" i="2"/>
  <c r="BU744" i="2"/>
  <c r="P166" i="2"/>
  <c r="Y166" i="2" s="1"/>
  <c r="BS340" i="2"/>
  <c r="BV341" i="2"/>
  <c r="BQ544" i="2"/>
  <c r="BQ737" i="2" s="1"/>
  <c r="BS545" i="2"/>
  <c r="BV237" i="2"/>
  <c r="BW238" i="2"/>
  <c r="BU739" i="2"/>
  <c r="BQ554" i="2"/>
  <c r="BV534" i="2"/>
  <c r="BS533" i="2"/>
  <c r="BR339" i="2"/>
  <c r="BV123" i="2"/>
  <c r="BS122" i="2"/>
  <c r="BS524" i="2"/>
  <c r="BV525" i="2"/>
  <c r="BT539" i="2"/>
  <c r="BT512" i="2" s="1"/>
  <c r="BU360" i="2"/>
  <c r="BU359" i="2" s="1"/>
  <c r="BP359" i="2"/>
  <c r="BP358" i="2" s="1"/>
  <c r="BV208" i="2"/>
  <c r="BS207" i="2"/>
  <c r="V9" i="2"/>
  <c r="X540" i="2"/>
  <c r="O539" i="2"/>
  <c r="X539" i="2" s="1"/>
  <c r="BS132" i="2"/>
  <c r="BV133" i="2"/>
  <c r="U10" i="2"/>
  <c r="U9" i="2" s="1"/>
  <c r="U721" i="2" s="1"/>
  <c r="U722" i="2" s="1"/>
  <c r="U724" i="2" s="1"/>
  <c r="N719" i="2"/>
  <c r="N3" i="2"/>
  <c r="N734" i="2" s="1"/>
  <c r="BV250" i="2"/>
  <c r="BS249" i="2"/>
  <c r="BP744" i="2"/>
  <c r="BQ746" i="2"/>
  <c r="BV470" i="2"/>
  <c r="BS469" i="2"/>
  <c r="BU4" i="2"/>
  <c r="BO742" i="2"/>
  <c r="BO150" i="2"/>
  <c r="BO127" i="2" s="1"/>
  <c r="BO9" i="2" s="1"/>
  <c r="J539" i="2"/>
  <c r="I539" i="2"/>
  <c r="BU545" i="2"/>
  <c r="BU544" i="2" s="1"/>
  <c r="BP544" i="2"/>
  <c r="X513" i="2"/>
  <c r="O512" i="2"/>
  <c r="BR426" i="2"/>
  <c r="BR425" i="2" s="1"/>
  <c r="BS430" i="2"/>
  <c r="BQ11" i="2"/>
  <c r="BQ10" i="2" s="1"/>
  <c r="BS12" i="2"/>
  <c r="BS260" i="2"/>
  <c r="BV261" i="2"/>
  <c r="BP747" i="2"/>
  <c r="BS331" i="2"/>
  <c r="BV332" i="2"/>
  <c r="BN736" i="2"/>
  <c r="BN735" i="2" s="1"/>
  <c r="BS527" i="2"/>
  <c r="BS526" i="2" s="1"/>
  <c r="BV528" i="2"/>
  <c r="BS108" i="2"/>
  <c r="BV109" i="2"/>
  <c r="BV163" i="2"/>
  <c r="BW164" i="2"/>
  <c r="BW163" i="2" s="1"/>
  <c r="V743" i="2"/>
  <c r="BN576" i="2"/>
  <c r="BU268" i="2"/>
  <c r="BU259" i="2" s="1"/>
  <c r="BV542" i="2"/>
  <c r="BV541" i="2" s="1"/>
  <c r="BS541" i="2"/>
  <c r="BQ204" i="2"/>
  <c r="BU371" i="2"/>
  <c r="BQ127" i="2"/>
  <c r="Q512" i="2"/>
  <c r="Z512" i="2" s="1"/>
  <c r="Z513" i="2"/>
  <c r="BV649" i="2"/>
  <c r="BS648" i="2"/>
  <c r="BU643" i="2"/>
  <c r="BU642" i="2" s="1"/>
  <c r="BU576" i="2" s="1"/>
  <c r="BP642" i="2"/>
  <c r="BP576" i="2" s="1"/>
  <c r="O735" i="2"/>
  <c r="X735" i="2" s="1"/>
  <c r="X736" i="2"/>
  <c r="BS702" i="2"/>
  <c r="BV703" i="2"/>
  <c r="BS457" i="2"/>
  <c r="BV458" i="2"/>
  <c r="BP746" i="2"/>
  <c r="BS353" i="2"/>
  <c r="BS352" i="2" s="1"/>
  <c r="BV354" i="2"/>
  <c r="BU84" i="2"/>
  <c r="BW84" i="2"/>
  <c r="V735" i="2"/>
  <c r="U735" i="2"/>
  <c r="W166" i="2"/>
  <c r="BV419" i="2"/>
  <c r="BS418" i="2"/>
  <c r="BU290" i="2"/>
  <c r="BU281" i="2" s="1"/>
  <c r="BV466" i="2"/>
  <c r="BS465" i="2"/>
  <c r="BQ339" i="2"/>
  <c r="X10" i="2"/>
  <c r="O9" i="2"/>
  <c r="BS64" i="2"/>
  <c r="BV65" i="2"/>
  <c r="BQ747" i="2"/>
  <c r="BV209" i="2"/>
  <c r="BW210" i="2"/>
  <c r="BW209" i="2" s="1"/>
  <c r="BU132" i="2"/>
  <c r="BQ281" i="2"/>
  <c r="BS482" i="2"/>
  <c r="BS481" i="2" s="1"/>
  <c r="BV483" i="2"/>
  <c r="BU508" i="2"/>
  <c r="BU505" i="2" s="1"/>
  <c r="BW77" i="2"/>
  <c r="BW76" i="2" s="1"/>
  <c r="Q735" i="2"/>
  <c r="Z735" i="2" s="1"/>
  <c r="W450" i="2"/>
  <c r="BO740" i="2"/>
  <c r="BS287" i="2"/>
  <c r="BV288" i="2"/>
  <c r="U167" i="2"/>
  <c r="U166" i="2" s="1"/>
  <c r="BS484" i="2"/>
  <c r="BV485" i="2"/>
  <c r="BV186" i="2"/>
  <c r="BS185" i="2"/>
  <c r="M91" i="3"/>
  <c r="L118" i="3" s="1"/>
  <c r="N118" i="3" s="1"/>
  <c r="P9" i="2"/>
  <c r="Y10" i="2"/>
  <c r="BQ371" i="2"/>
  <c r="BV105" i="2"/>
  <c r="BS104" i="2"/>
  <c r="BS323" i="2"/>
  <c r="BV324" i="2"/>
  <c r="BV480" i="2"/>
  <c r="BS479" i="2"/>
  <c r="BU747" i="2"/>
  <c r="BQ741" i="2"/>
  <c r="BP541" i="2"/>
  <c r="BP540" i="2" s="1"/>
  <c r="BU542" i="2"/>
  <c r="BU541" i="2" s="1"/>
  <c r="BU540" i="2" s="1"/>
  <c r="BS325" i="2"/>
  <c r="BV326" i="2"/>
  <c r="BS350" i="2"/>
  <c r="BV351" i="2"/>
  <c r="BP268" i="2"/>
  <c r="BP259" i="2" s="1"/>
  <c r="F11" i="3"/>
  <c r="J450" i="2"/>
  <c r="I450" i="2"/>
  <c r="BQ540" i="2"/>
  <c r="BQ539" i="2" s="1"/>
  <c r="BS205" i="2"/>
  <c r="BS204" i="2" s="1"/>
  <c r="BV206" i="2"/>
  <c r="BV437" i="2"/>
  <c r="BS436" i="2"/>
  <c r="BP371" i="2"/>
  <c r="BS128" i="2"/>
  <c r="BV129" i="2"/>
  <c r="BQ246" i="2"/>
  <c r="I424" i="2"/>
  <c r="J424" i="2"/>
  <c r="BU707" i="2"/>
  <c r="BO3" i="2"/>
  <c r="BV478" i="2"/>
  <c r="BS477" i="2"/>
  <c r="BU746" i="2"/>
  <c r="BP738" i="2"/>
  <c r="BS643" i="2"/>
  <c r="BQ642" i="2"/>
  <c r="BQ740" i="2" s="1"/>
  <c r="BS455" i="2"/>
  <c r="BV456" i="2"/>
  <c r="BS148" i="2"/>
  <c r="BV149" i="2"/>
  <c r="N724" i="2"/>
  <c r="M64" i="3" s="1"/>
  <c r="N728" i="2"/>
  <c r="N725" i="2"/>
  <c r="M65" i="3" s="1"/>
  <c r="N727" i="2"/>
  <c r="M67" i="3" s="1"/>
  <c r="N726" i="2"/>
  <c r="M66" i="3" s="1"/>
  <c r="BV155" i="2"/>
  <c r="BW156" i="2"/>
  <c r="BW155" i="2" s="1"/>
  <c r="BV691" i="2"/>
  <c r="BS690" i="2"/>
  <c r="BS685" i="2"/>
  <c r="BV686" i="2"/>
  <c r="BU740" i="2"/>
  <c r="BU656" i="2"/>
  <c r="BU655" i="2" s="1"/>
  <c r="BU745" i="2" s="1"/>
  <c r="BP655" i="2"/>
  <c r="BP745" i="2" s="1"/>
  <c r="BQ451" i="2"/>
  <c r="BP739" i="2"/>
  <c r="BV494" i="2"/>
  <c r="BS493" i="2"/>
  <c r="BV499" i="2"/>
  <c r="BS498" i="2"/>
  <c r="J736" i="2"/>
  <c r="BS282" i="2"/>
  <c r="BV283" i="2"/>
  <c r="Q166" i="2"/>
  <c r="Z166" i="2" s="1"/>
  <c r="BP76" i="2"/>
  <c r="BN738" i="2"/>
  <c r="BR359" i="2"/>
  <c r="BS360" i="2"/>
  <c r="BN10" i="2"/>
  <c r="BN9" i="2" s="1"/>
  <c r="BV578" i="2"/>
  <c r="BS577" i="2"/>
  <c r="BS334" i="2"/>
  <c r="BV335" i="2"/>
  <c r="BP737" i="2"/>
  <c r="BS255" i="2"/>
  <c r="BV256" i="2"/>
  <c r="BS472" i="2"/>
  <c r="BV473" i="2"/>
  <c r="BU315" i="2"/>
  <c r="BQ184" i="2"/>
  <c r="BQ166" i="2" s="1"/>
  <c r="BP246" i="2"/>
  <c r="BS522" i="2"/>
  <c r="BV523" i="2"/>
  <c r="BV582" i="2"/>
  <c r="BS581" i="2"/>
  <c r="BV656" i="2"/>
  <c r="BV655" i="2" s="1"/>
  <c r="BS655" i="2"/>
  <c r="Z127" i="2"/>
  <c r="Q9" i="2"/>
  <c r="BQ736" i="2"/>
  <c r="BQ4" i="2"/>
  <c r="U280" i="2"/>
  <c r="Z358" i="2"/>
  <c r="Q338" i="2"/>
  <c r="BS14" i="2"/>
  <c r="BV15" i="2"/>
  <c r="BN539" i="2"/>
  <c r="BN512" i="2" s="1"/>
  <c r="W338" i="2"/>
  <c r="W280" i="2" s="1"/>
  <c r="BV658" i="2"/>
  <c r="BS657" i="2"/>
  <c r="BU111" i="2"/>
  <c r="BU108" i="2" s="1"/>
  <c r="BU743" i="2" s="1"/>
  <c r="BW111" i="2"/>
  <c r="BP108" i="2"/>
  <c r="BP743" i="2" s="1"/>
  <c r="BP281" i="2"/>
  <c r="BV519" i="2"/>
  <c r="BS518" i="2"/>
  <c r="BT237" i="2"/>
  <c r="BW240" i="2"/>
  <c r="BQ514" i="2"/>
  <c r="BQ513" i="2" s="1"/>
  <c r="BS158" i="2"/>
  <c r="BS741" i="2" s="1"/>
  <c r="BV159" i="2"/>
  <c r="BV663" i="2"/>
  <c r="BS662" i="2"/>
  <c r="BS247" i="2"/>
  <c r="BS246" i="2" s="1"/>
  <c r="BV248" i="2"/>
  <c r="BS486" i="2"/>
  <c r="BV487" i="2"/>
  <c r="BV119" i="2"/>
  <c r="BS118" i="2"/>
  <c r="BS459" i="2"/>
  <c r="BV460" i="2"/>
  <c r="BS315" i="2"/>
  <c r="BV316" i="2"/>
  <c r="BP554" i="2"/>
  <c r="BU513" i="2"/>
  <c r="BS189" i="2"/>
  <c r="BV190" i="2"/>
  <c r="BW571" i="2"/>
  <c r="BU571" i="2"/>
  <c r="BU569" i="2" s="1"/>
  <c r="BP569" i="2"/>
  <c r="BS217" i="2"/>
  <c r="BS216" i="2" s="1"/>
  <c r="BV218" i="2"/>
  <c r="BV172" i="2"/>
  <c r="BS171" i="2"/>
  <c r="BV154" i="2"/>
  <c r="BS153" i="2"/>
  <c r="BQ689" i="2"/>
  <c r="BQ661" i="2" s="1"/>
  <c r="I9" i="2"/>
  <c r="BS271" i="2"/>
  <c r="BV272" i="2"/>
  <c r="O166" i="2"/>
  <c r="O723" i="2"/>
  <c r="K734" i="2"/>
  <c r="BS452" i="2"/>
  <c r="BV453" i="2"/>
  <c r="BS670" i="2"/>
  <c r="BV671" i="2"/>
  <c r="BV395" i="2"/>
  <c r="BS394" i="2"/>
  <c r="BV552" i="2"/>
  <c r="BS551" i="2"/>
  <c r="BP490" i="2"/>
  <c r="P338" i="2"/>
  <c r="BN280" i="2"/>
  <c r="BU76" i="2"/>
  <c r="BU741" i="2" s="1"/>
  <c r="W358" i="2"/>
  <c r="W737" i="2"/>
  <c r="BU12" i="2"/>
  <c r="BU11" i="2" s="1"/>
  <c r="BP11" i="2"/>
  <c r="BP10" i="2" s="1"/>
  <c r="BT9" i="2"/>
  <c r="BV580" i="2"/>
  <c r="BS579" i="2"/>
  <c r="BQ471" i="2"/>
  <c r="BV507" i="2"/>
  <c r="BS506" i="2"/>
  <c r="BU246" i="2"/>
  <c r="S721" i="2"/>
  <c r="BS739" i="2"/>
  <c r="L183" i="3"/>
  <c r="N171" i="3"/>
  <c r="N183" i="3" s="1"/>
  <c r="BV468" i="2"/>
  <c r="BS467" i="2"/>
  <c r="W735" i="2"/>
  <c r="G719" i="2"/>
  <c r="BV556" i="2"/>
  <c r="BS555" i="2"/>
  <c r="BS554" i="2" s="1"/>
  <c r="BU426" i="2"/>
  <c r="BU425" i="2" s="1"/>
  <c r="BU424" i="2" s="1"/>
  <c r="BV421" i="2"/>
  <c r="BS420" i="2"/>
  <c r="BV348" i="2"/>
  <c r="BS347" i="2"/>
  <c r="BU167" i="2"/>
  <c r="BU166" i="2" s="1"/>
  <c r="BS195" i="2"/>
  <c r="BV195" i="2"/>
  <c r="BV492" i="2"/>
  <c r="BS491" i="2"/>
  <c r="BS269" i="2"/>
  <c r="BV270" i="2"/>
  <c r="BV516" i="2"/>
  <c r="BS515" i="2"/>
  <c r="BS514" i="2" s="1"/>
  <c r="BS513" i="2" s="1"/>
  <c r="BP150" i="2"/>
  <c r="BP127" i="2" s="1"/>
  <c r="BU738" i="2"/>
  <c r="F12" i="3"/>
  <c r="J514" i="2"/>
  <c r="I514" i="2"/>
  <c r="G513" i="2"/>
  <c r="BV311" i="2"/>
  <c r="BS310" i="2"/>
  <c r="BQ745" i="2"/>
  <c r="BV373" i="2"/>
  <c r="BS372" i="2"/>
  <c r="BV6" i="2"/>
  <c r="BS5" i="2"/>
  <c r="P512" i="2"/>
  <c r="Y512" i="2" s="1"/>
  <c r="Y513" i="2"/>
  <c r="BV669" i="2"/>
  <c r="BS667" i="2"/>
  <c r="BU554" i="2"/>
  <c r="BV138" i="2"/>
  <c r="BS137" i="2"/>
  <c r="BQ742" i="2"/>
  <c r="BV176" i="2"/>
  <c r="BS175" i="2"/>
  <c r="M144" i="3"/>
  <c r="M149" i="3" s="1"/>
  <c r="M122" i="3"/>
  <c r="BP330" i="2"/>
  <c r="G338" i="2"/>
  <c r="BV476" i="2"/>
  <c r="BS475" i="2"/>
  <c r="W721" i="2"/>
  <c r="W3" i="2"/>
  <c r="BU339" i="2"/>
  <c r="BV121" i="2"/>
  <c r="BS120" i="2"/>
  <c r="BU690" i="2"/>
  <c r="BU689" i="2" s="1"/>
  <c r="BU661" i="2" s="1"/>
  <c r="BP742" i="2"/>
  <c r="BQ744" i="2"/>
  <c r="BQ738" i="2"/>
  <c r="BV337" i="2"/>
  <c r="BS336" i="2"/>
  <c r="BP736" i="2"/>
  <c r="BP735" i="2" s="1"/>
  <c r="BP4" i="2"/>
  <c r="BS508" i="2"/>
  <c r="BV509" i="2"/>
  <c r="BS417" i="2"/>
  <c r="BU490" i="2"/>
  <c r="BS273" i="2"/>
  <c r="BV274" i="2"/>
  <c r="BU161" i="2"/>
  <c r="BU160" i="2" s="1"/>
  <c r="BU150" i="2" s="1"/>
  <c r="BP160" i="2"/>
  <c r="BV708" i="2"/>
  <c r="BS707" i="2"/>
  <c r="BT740" i="2"/>
  <c r="BQ461" i="2"/>
  <c r="BP352" i="2"/>
  <c r="BP339" i="2" s="1"/>
  <c r="BP338" i="2" s="1"/>
  <c r="O280" i="2"/>
  <c r="BS704" i="2"/>
  <c r="BV705" i="2"/>
  <c r="BR160" i="2"/>
  <c r="BS161" i="2"/>
  <c r="J737" i="2"/>
  <c r="BP166" i="2" l="1"/>
  <c r="BN3" i="2"/>
  <c r="BU127" i="2"/>
  <c r="BV508" i="2"/>
  <c r="BW509" i="2"/>
  <c r="BW508" i="2" s="1"/>
  <c r="BV704" i="2"/>
  <c r="BW705" i="2"/>
  <c r="BW704" i="2" s="1"/>
  <c r="I36" i="3"/>
  <c r="X280" i="2"/>
  <c r="BS746" i="2"/>
  <c r="BV475" i="2"/>
  <c r="BW476" i="2"/>
  <c r="BW475" i="2" s="1"/>
  <c r="BV175" i="2"/>
  <c r="BW176" i="2"/>
  <c r="BW175" i="2" s="1"/>
  <c r="I513" i="2"/>
  <c r="J513" i="2"/>
  <c r="G512" i="2"/>
  <c r="BV347" i="2"/>
  <c r="BW348" i="2"/>
  <c r="BW347" i="2" s="1"/>
  <c r="BV506" i="2"/>
  <c r="BV505" i="2" s="1"/>
  <c r="BW507" i="2"/>
  <c r="BW506" i="2" s="1"/>
  <c r="BW505" i="2" s="1"/>
  <c r="Y338" i="2"/>
  <c r="P280" i="2"/>
  <c r="Y280" i="2" s="1"/>
  <c r="BV394" i="2"/>
  <c r="BW395" i="2"/>
  <c r="BW394" i="2" s="1"/>
  <c r="BV171" i="2"/>
  <c r="BW172" i="2"/>
  <c r="BW171" i="2" s="1"/>
  <c r="BV486" i="2"/>
  <c r="BW487" i="2"/>
  <c r="BW486" i="2" s="1"/>
  <c r="BV662" i="2"/>
  <c r="BW663" i="2"/>
  <c r="BW662" i="2" s="1"/>
  <c r="Z338" i="2"/>
  <c r="Q280" i="2"/>
  <c r="Z280" i="2" s="1"/>
  <c r="Z9" i="2"/>
  <c r="Q3" i="2"/>
  <c r="BV472" i="2"/>
  <c r="BW473" i="2"/>
  <c r="BW472" i="2" s="1"/>
  <c r="BV455" i="2"/>
  <c r="BW456" i="2"/>
  <c r="BW455" i="2" s="1"/>
  <c r="BV205" i="2"/>
  <c r="BW206" i="2"/>
  <c r="BW205" i="2" s="1"/>
  <c r="BW542" i="2"/>
  <c r="BW541" i="2" s="1"/>
  <c r="BV323" i="2"/>
  <c r="BW324" i="2"/>
  <c r="BW323" i="2" s="1"/>
  <c r="Y9" i="2"/>
  <c r="P720" i="2"/>
  <c r="BQ338" i="2"/>
  <c r="BQ280" i="2" s="1"/>
  <c r="BQ3" i="2" s="1"/>
  <c r="BV648" i="2"/>
  <c r="BW649" i="2"/>
  <c r="BW648" i="2" s="1"/>
  <c r="BV331" i="2"/>
  <c r="BW332" i="2"/>
  <c r="BW331" i="2" s="1"/>
  <c r="BQ9" i="2"/>
  <c r="BW237" i="2"/>
  <c r="BS339" i="2"/>
  <c r="BV345" i="2"/>
  <c r="BW346" i="2"/>
  <c r="BW345" i="2" s="1"/>
  <c r="BV356" i="2"/>
  <c r="BW357" i="2"/>
  <c r="BW356" i="2" s="1"/>
  <c r="BS461" i="2"/>
  <c r="BV113" i="2"/>
  <c r="BW114" i="2"/>
  <c r="BW113" i="2" s="1"/>
  <c r="BS416" i="2"/>
  <c r="BS371" i="2" s="1"/>
  <c r="BV417" i="2"/>
  <c r="BV336" i="2"/>
  <c r="BW337" i="2"/>
  <c r="BW336" i="2" s="1"/>
  <c r="BV120" i="2"/>
  <c r="BW121" i="2"/>
  <c r="BW120" i="2" s="1"/>
  <c r="I338" i="2"/>
  <c r="J338" i="2"/>
  <c r="I9" i="3"/>
  <c r="G280" i="2"/>
  <c r="BV667" i="2"/>
  <c r="BW669" i="2"/>
  <c r="BW667" i="2" s="1"/>
  <c r="BV372" i="2"/>
  <c r="BW373" i="2"/>
  <c r="BW372" i="2" s="1"/>
  <c r="BV491" i="2"/>
  <c r="BW492" i="2"/>
  <c r="BW491" i="2" s="1"/>
  <c r="F64" i="3"/>
  <c r="I719" i="2"/>
  <c r="BU10" i="2"/>
  <c r="BU9" i="2" s="1"/>
  <c r="BV670" i="2"/>
  <c r="BW671" i="2"/>
  <c r="BW670" i="2" s="1"/>
  <c r="BV217" i="2"/>
  <c r="BV216" i="2" s="1"/>
  <c r="BW218" i="2"/>
  <c r="BW217" i="2" s="1"/>
  <c r="BV189" i="2"/>
  <c r="BW190" i="2"/>
  <c r="BW189" i="2" s="1"/>
  <c r="BV459" i="2"/>
  <c r="BW460" i="2"/>
  <c r="BW459" i="2" s="1"/>
  <c r="BV158" i="2"/>
  <c r="BW159" i="2"/>
  <c r="BW158" i="2" s="1"/>
  <c r="BV518" i="2"/>
  <c r="BW519" i="2"/>
  <c r="BW518" i="2" s="1"/>
  <c r="BV657" i="2"/>
  <c r="BW658" i="2"/>
  <c r="BW657" i="2" s="1"/>
  <c r="BV522" i="2"/>
  <c r="BW523" i="2"/>
  <c r="BW522" i="2" s="1"/>
  <c r="BS471" i="2"/>
  <c r="BP741" i="2"/>
  <c r="BV498" i="2"/>
  <c r="BW499" i="2"/>
  <c r="BW498" i="2" s="1"/>
  <c r="BW656" i="2"/>
  <c r="BW655" i="2" s="1"/>
  <c r="BS689" i="2"/>
  <c r="BV477" i="2"/>
  <c r="BW478" i="2"/>
  <c r="BW477" i="2" s="1"/>
  <c r="BV128" i="2"/>
  <c r="BW129" i="2"/>
  <c r="BW128" i="2" s="1"/>
  <c r="BV350" i="2"/>
  <c r="BW351" i="2"/>
  <c r="BW350" i="2" s="1"/>
  <c r="BP539" i="2"/>
  <c r="BQ576" i="2"/>
  <c r="BV64" i="2"/>
  <c r="BW65" i="2"/>
  <c r="BW64" i="2" s="1"/>
  <c r="BV108" i="2"/>
  <c r="BW109" i="2"/>
  <c r="BW108" i="2" s="1"/>
  <c r="BS330" i="2"/>
  <c r="BV430" i="2"/>
  <c r="BS426" i="2"/>
  <c r="BS425" i="2" s="1"/>
  <c r="BS424" i="2" s="1"/>
  <c r="H719" i="2"/>
  <c r="J719" i="2" s="1"/>
  <c r="H723" i="2"/>
  <c r="J723" i="2" s="1"/>
  <c r="V721" i="2"/>
  <c r="V724" i="2" s="1"/>
  <c r="V3" i="2"/>
  <c r="V734" i="2" s="1"/>
  <c r="BV312" i="2"/>
  <c r="BW313" i="2"/>
  <c r="BW312" i="2" s="1"/>
  <c r="BV263" i="2"/>
  <c r="BW264" i="2"/>
  <c r="BW263" i="2" s="1"/>
  <c r="BV253" i="2"/>
  <c r="BW254" i="2"/>
  <c r="BW253" i="2" s="1"/>
  <c r="BS167" i="2"/>
  <c r="BV665" i="2"/>
  <c r="BW666" i="2"/>
  <c r="BW665" i="2" s="1"/>
  <c r="BS744" i="2"/>
  <c r="BV161" i="2"/>
  <c r="BS160" i="2"/>
  <c r="BS150" i="2" s="1"/>
  <c r="BS127" i="2" s="1"/>
  <c r="BV420" i="2"/>
  <c r="BW421" i="2"/>
  <c r="BW420" i="2" s="1"/>
  <c r="M90" i="3"/>
  <c r="L117" i="3" s="1"/>
  <c r="P723" i="2"/>
  <c r="O728" i="2"/>
  <c r="BV247" i="2"/>
  <c r="BW248" i="2"/>
  <c r="BW247" i="2" s="1"/>
  <c r="BP280" i="2"/>
  <c r="BV255" i="2"/>
  <c r="BW256" i="2"/>
  <c r="BW255" i="2" s="1"/>
  <c r="BV577" i="2"/>
  <c r="BW578" i="2"/>
  <c r="BW577" i="2" s="1"/>
  <c r="BV690" i="2"/>
  <c r="BW691" i="2"/>
  <c r="BW690" i="2" s="1"/>
  <c r="H725" i="2"/>
  <c r="BO734" i="2"/>
  <c r="BS742" i="2"/>
  <c r="BV465" i="2"/>
  <c r="BW466" i="2"/>
  <c r="BW465" i="2" s="1"/>
  <c r="BV457" i="2"/>
  <c r="BW458" i="2"/>
  <c r="BW457" i="2" s="1"/>
  <c r="BS743" i="2"/>
  <c r="BR424" i="2"/>
  <c r="BR738" i="2"/>
  <c r="BU736" i="2"/>
  <c r="BU735" i="2" s="1"/>
  <c r="BV249" i="2"/>
  <c r="BW250" i="2"/>
  <c r="BW249" i="2" s="1"/>
  <c r="BV524" i="2"/>
  <c r="BW525" i="2"/>
  <c r="BW524" i="2" s="1"/>
  <c r="BV533" i="2"/>
  <c r="BW534" i="2"/>
  <c r="BW533" i="2" s="1"/>
  <c r="BV545" i="2"/>
  <c r="BS544" i="2"/>
  <c r="BS540" i="2" s="1"/>
  <c r="BS539" i="2" s="1"/>
  <c r="BS512" i="2" s="1"/>
  <c r="BV290" i="2"/>
  <c r="BW291" i="2"/>
  <c r="BW290" i="2" s="1"/>
  <c r="BV168" i="2"/>
  <c r="BV167" i="2" s="1"/>
  <c r="BW169" i="2"/>
  <c r="BW168" i="2" s="1"/>
  <c r="BW167" i="2" s="1"/>
  <c r="BU742" i="2"/>
  <c r="BR742" i="2"/>
  <c r="BR150" i="2"/>
  <c r="BR127" i="2" s="1"/>
  <c r="BR9" i="2" s="1"/>
  <c r="BV273" i="2"/>
  <c r="BW274" i="2"/>
  <c r="BW273" i="2" s="1"/>
  <c r="W734" i="2"/>
  <c r="BV515" i="2"/>
  <c r="BW516" i="2"/>
  <c r="BW515" i="2" s="1"/>
  <c r="BW514" i="2" s="1"/>
  <c r="BV579" i="2"/>
  <c r="BW580" i="2"/>
  <c r="BW579" i="2" s="1"/>
  <c r="BV452" i="2"/>
  <c r="BV451" i="2" s="1"/>
  <c r="BW453" i="2"/>
  <c r="BW452" i="2" s="1"/>
  <c r="BW451" i="2" s="1"/>
  <c r="I35" i="3"/>
  <c r="J166" i="2"/>
  <c r="X166" i="2"/>
  <c r="BQ512" i="2"/>
  <c r="BV282" i="2"/>
  <c r="BW283" i="2"/>
  <c r="BW282" i="2" s="1"/>
  <c r="BV493" i="2"/>
  <c r="BW494" i="2"/>
  <c r="BW493" i="2" s="1"/>
  <c r="BV643" i="2"/>
  <c r="BS642" i="2"/>
  <c r="BS576" i="2" s="1"/>
  <c r="BV325" i="2"/>
  <c r="BW326" i="2"/>
  <c r="BW325" i="2" s="1"/>
  <c r="BV104" i="2"/>
  <c r="BW105" i="2"/>
  <c r="BW104" i="2" s="1"/>
  <c r="BS184" i="2"/>
  <c r="BV287" i="2"/>
  <c r="BW288" i="2"/>
  <c r="BW287" i="2" s="1"/>
  <c r="BP740" i="2"/>
  <c r="BV527" i="2"/>
  <c r="BW528" i="2"/>
  <c r="BW527" i="2" s="1"/>
  <c r="BV260" i="2"/>
  <c r="BW261" i="2"/>
  <c r="BW260" i="2" s="1"/>
  <c r="I37" i="3"/>
  <c r="X512" i="2"/>
  <c r="BV132" i="2"/>
  <c r="BW133" i="2"/>
  <c r="BW132" i="2" s="1"/>
  <c r="BV207" i="2"/>
  <c r="BV739" i="2" s="1"/>
  <c r="BW208" i="2"/>
  <c r="BW207" i="2" s="1"/>
  <c r="U3" i="2"/>
  <c r="U734" i="2" s="1"/>
  <c r="BV407" i="2"/>
  <c r="BW408" i="2"/>
  <c r="BW407" i="2" s="1"/>
  <c r="BV495" i="2"/>
  <c r="BW496" i="2"/>
  <c r="BW495" i="2" s="1"/>
  <c r="BV502" i="2"/>
  <c r="BW503" i="2"/>
  <c r="BW502" i="2" s="1"/>
  <c r="BP512" i="2"/>
  <c r="BV137" i="2"/>
  <c r="BW138" i="2"/>
  <c r="BW137" i="2" s="1"/>
  <c r="BS4" i="2"/>
  <c r="BV310" i="2"/>
  <c r="BW311" i="2"/>
  <c r="BW310" i="2" s="1"/>
  <c r="BV269" i="2"/>
  <c r="BW270" i="2"/>
  <c r="BW269" i="2" s="1"/>
  <c r="BW268" i="2" s="1"/>
  <c r="BV467" i="2"/>
  <c r="BW468" i="2"/>
  <c r="BW467" i="2" s="1"/>
  <c r="BV551" i="2"/>
  <c r="BW552" i="2"/>
  <c r="BW551" i="2" s="1"/>
  <c r="BS451" i="2"/>
  <c r="BS450" i="2" s="1"/>
  <c r="BV271" i="2"/>
  <c r="BW272" i="2"/>
  <c r="BW271" i="2" s="1"/>
  <c r="BV153" i="2"/>
  <c r="BW154" i="2"/>
  <c r="BW153" i="2" s="1"/>
  <c r="BS745" i="2"/>
  <c r="BV14" i="2"/>
  <c r="BW15" i="2"/>
  <c r="BW14" i="2" s="1"/>
  <c r="BQ735" i="2"/>
  <c r="BS359" i="2"/>
  <c r="BS358" i="2" s="1"/>
  <c r="BV360" i="2"/>
  <c r="BS281" i="2"/>
  <c r="BV685" i="2"/>
  <c r="BW686" i="2"/>
  <c r="BW685" i="2" s="1"/>
  <c r="BV148" i="2"/>
  <c r="BW149" i="2"/>
  <c r="BW148" i="2" s="1"/>
  <c r="BV185" i="2"/>
  <c r="BV184" i="2" s="1"/>
  <c r="BW186" i="2"/>
  <c r="BW185" i="2" s="1"/>
  <c r="BW184" i="2" s="1"/>
  <c r="BV482" i="2"/>
  <c r="BV481" i="2" s="1"/>
  <c r="BW483" i="2"/>
  <c r="BW482" i="2" s="1"/>
  <c r="I34" i="3"/>
  <c r="J9" i="2"/>
  <c r="X9" i="2"/>
  <c r="O720" i="2"/>
  <c r="O3" i="2"/>
  <c r="BV702" i="2"/>
  <c r="BW703" i="2"/>
  <c r="BW702" i="2" s="1"/>
  <c r="BV469" i="2"/>
  <c r="BW470" i="2"/>
  <c r="BW469" i="2" s="1"/>
  <c r="BS747" i="2"/>
  <c r="BV374" i="2"/>
  <c r="BW375" i="2"/>
  <c r="BW374" i="2" s="1"/>
  <c r="BV266" i="2"/>
  <c r="BW267" i="2"/>
  <c r="BW266" i="2" s="1"/>
  <c r="BV707" i="2"/>
  <c r="BW708" i="2"/>
  <c r="BW707" i="2" s="1"/>
  <c r="BV5" i="2"/>
  <c r="BW6" i="2"/>
  <c r="BW5" i="2" s="1"/>
  <c r="BS268" i="2"/>
  <c r="BS259" i="2" s="1"/>
  <c r="BV555" i="2"/>
  <c r="BW556" i="2"/>
  <c r="BW555" i="2" s="1"/>
  <c r="BS505" i="2"/>
  <c r="BS490" i="2" s="1"/>
  <c r="BP9" i="2"/>
  <c r="BV315" i="2"/>
  <c r="BW316" i="2"/>
  <c r="BW315" i="2" s="1"/>
  <c r="BW741" i="2" s="1"/>
  <c r="I176" i="3" s="1"/>
  <c r="BV118" i="2"/>
  <c r="BW119" i="2"/>
  <c r="BW118" i="2" s="1"/>
  <c r="BW745" i="2" s="1"/>
  <c r="I180" i="3" s="1"/>
  <c r="BS661" i="2"/>
  <c r="BT216" i="2"/>
  <c r="BT166" i="2" s="1"/>
  <c r="BT3" i="2" s="1"/>
  <c r="BT743" i="2"/>
  <c r="BT735" i="2" s="1"/>
  <c r="BS738" i="2"/>
  <c r="BV581" i="2"/>
  <c r="BW582" i="2"/>
  <c r="BW581" i="2" s="1"/>
  <c r="BV334" i="2"/>
  <c r="BW335" i="2"/>
  <c r="BW334" i="2" s="1"/>
  <c r="BR358" i="2"/>
  <c r="BR338" i="2" s="1"/>
  <c r="BR280" i="2" s="1"/>
  <c r="BR737" i="2"/>
  <c r="BQ450" i="2"/>
  <c r="BV436" i="2"/>
  <c r="BW437" i="2"/>
  <c r="BW436" i="2" s="1"/>
  <c r="BU539" i="2"/>
  <c r="BU512" i="2" s="1"/>
  <c r="BV479" i="2"/>
  <c r="BW480" i="2"/>
  <c r="BW479" i="2" s="1"/>
  <c r="BV484" i="2"/>
  <c r="BW485" i="2"/>
  <c r="BW484" i="2" s="1"/>
  <c r="BV418" i="2"/>
  <c r="BW419" i="2"/>
  <c r="BW418" i="2" s="1"/>
  <c r="BV353" i="2"/>
  <c r="BV352" i="2" s="1"/>
  <c r="BW354" i="2"/>
  <c r="BW353" i="2" s="1"/>
  <c r="BW352" i="2" s="1"/>
  <c r="BV12" i="2"/>
  <c r="BS11" i="2"/>
  <c r="BS10" i="2" s="1"/>
  <c r="BU358" i="2"/>
  <c r="BU338" i="2" s="1"/>
  <c r="BU280" i="2" s="1"/>
  <c r="BU3" i="2" s="1"/>
  <c r="BU737" i="2"/>
  <c r="BV122" i="2"/>
  <c r="BW123" i="2"/>
  <c r="BW122" i="2" s="1"/>
  <c r="BV340" i="2"/>
  <c r="BW341" i="2"/>
  <c r="BW340" i="2" s="1"/>
  <c r="BW339" i="2" s="1"/>
  <c r="Y738" i="2"/>
  <c r="P735" i="2"/>
  <c r="Y735" i="2" s="1"/>
  <c r="BV562" i="2"/>
  <c r="BW563" i="2"/>
  <c r="BW562" i="2" s="1"/>
  <c r="BV569" i="2"/>
  <c r="BW570" i="2"/>
  <c r="BW569" i="2" s="1"/>
  <c r="BV462" i="2"/>
  <c r="BV461" i="2" s="1"/>
  <c r="BW463" i="2"/>
  <c r="BW462" i="2" s="1"/>
  <c r="BV535" i="2"/>
  <c r="BW536" i="2"/>
  <c r="BW535" i="2" s="1"/>
  <c r="L149" i="3"/>
  <c r="N149" i="3" s="1"/>
  <c r="N144" i="3"/>
  <c r="BP3" i="2" l="1"/>
  <c r="BP734" i="2" s="1"/>
  <c r="BQ734" i="2"/>
  <c r="BR735" i="2"/>
  <c r="I118" i="3"/>
  <c r="BU734" i="2"/>
  <c r="BW461" i="2"/>
  <c r="BV4" i="2"/>
  <c r="BV281" i="2"/>
  <c r="BV514" i="2"/>
  <c r="BV544" i="2"/>
  <c r="BV540" i="2" s="1"/>
  <c r="BV539" i="2" s="1"/>
  <c r="BW545" i="2"/>
  <c r="BW544" i="2" s="1"/>
  <c r="P728" i="2"/>
  <c r="P725" i="2"/>
  <c r="P727" i="2"/>
  <c r="P726" i="2"/>
  <c r="P724" i="2"/>
  <c r="O729" i="2"/>
  <c r="BW740" i="2"/>
  <c r="I175" i="3" s="1"/>
  <c r="BV746" i="2"/>
  <c r="BW744" i="2"/>
  <c r="I179" i="3" s="1"/>
  <c r="BV330" i="2"/>
  <c r="P3" i="2"/>
  <c r="BW204" i="2"/>
  <c r="Q720" i="2"/>
  <c r="BW481" i="2"/>
  <c r="BS736" i="2"/>
  <c r="BS735" i="2" s="1"/>
  <c r="BW739" i="2"/>
  <c r="I174" i="3" s="1"/>
  <c r="BW259" i="2"/>
  <c r="BV160" i="2"/>
  <c r="BW161" i="2"/>
  <c r="BW160" i="2" s="1"/>
  <c r="BV426" i="2"/>
  <c r="BV425" i="2" s="1"/>
  <c r="BV424" i="2" s="1"/>
  <c r="BW430" i="2"/>
  <c r="BW426" i="2" s="1"/>
  <c r="BW425" i="2" s="1"/>
  <c r="BW424" i="2" s="1"/>
  <c r="BW490" i="2"/>
  <c r="C37" i="3"/>
  <c r="J280" i="2"/>
  <c r="I280" i="2"/>
  <c r="G717" i="2"/>
  <c r="G3" i="2"/>
  <c r="BV744" i="2"/>
  <c r="BS338" i="2"/>
  <c r="I64" i="3"/>
  <c r="G727" i="2"/>
  <c r="I727" i="2" s="1"/>
  <c r="G726" i="2"/>
  <c r="BV204" i="2"/>
  <c r="BV166" i="2" s="1"/>
  <c r="Q734" i="2"/>
  <c r="Z734" i="2" s="1"/>
  <c r="Z3" i="2"/>
  <c r="BV738" i="2"/>
  <c r="BV642" i="2"/>
  <c r="BV576" i="2" s="1"/>
  <c r="BW643" i="2"/>
  <c r="BW642" i="2" s="1"/>
  <c r="J725" i="2"/>
  <c r="N117" i="3"/>
  <c r="N122" i="3" s="1"/>
  <c r="L122" i="3"/>
  <c r="BV490" i="2"/>
  <c r="C38" i="3"/>
  <c r="I512" i="2"/>
  <c r="J512" i="2"/>
  <c r="BS9" i="2"/>
  <c r="BS3" i="2" s="1"/>
  <c r="BW554" i="2"/>
  <c r="O734" i="2"/>
  <c r="X734" i="2" s="1"/>
  <c r="X3" i="2"/>
  <c r="BV339" i="2"/>
  <c r="BV11" i="2"/>
  <c r="BV10" i="2" s="1"/>
  <c r="BW12" i="2"/>
  <c r="BW11" i="2" s="1"/>
  <c r="BW10" i="2" s="1"/>
  <c r="BV745" i="2"/>
  <c r="BV554" i="2"/>
  <c r="G720" i="2"/>
  <c r="G724" i="2"/>
  <c r="I724" i="2" s="1"/>
  <c r="BS280" i="2"/>
  <c r="BV268" i="2"/>
  <c r="BV259" i="2" s="1"/>
  <c r="BW526" i="2"/>
  <c r="BS740" i="2"/>
  <c r="BW689" i="2"/>
  <c r="BW743" i="2"/>
  <c r="I178" i="3" s="1"/>
  <c r="BW371" i="2"/>
  <c r="BV416" i="2"/>
  <c r="BW417" i="2"/>
  <c r="BW416" i="2" s="1"/>
  <c r="BW742" i="2" s="1"/>
  <c r="I177" i="3" s="1"/>
  <c r="BS737" i="2"/>
  <c r="BV359" i="2"/>
  <c r="BV358" i="2" s="1"/>
  <c r="BW360" i="2"/>
  <c r="BW359" i="2" s="1"/>
  <c r="BW358" i="2" s="1"/>
  <c r="BW338" i="2" s="1"/>
  <c r="BW150" i="2"/>
  <c r="BW127" i="2" s="1"/>
  <c r="BV741" i="2"/>
  <c r="BV526" i="2"/>
  <c r="BV742" i="2"/>
  <c r="BR3" i="2"/>
  <c r="BV689" i="2"/>
  <c r="BV661" i="2" s="1"/>
  <c r="BW246" i="2"/>
  <c r="BW166" i="2" s="1"/>
  <c r="BV743" i="2"/>
  <c r="BV371" i="2"/>
  <c r="BW471" i="2"/>
  <c r="BW450" i="2" s="1"/>
  <c r="BN734" i="2"/>
  <c r="G725" i="2"/>
  <c r="I725" i="2" s="1"/>
  <c r="BW747" i="2"/>
  <c r="I182" i="3" s="1"/>
  <c r="BV747" i="2"/>
  <c r="BW4" i="2"/>
  <c r="BV150" i="2"/>
  <c r="BV127" i="2" s="1"/>
  <c r="I117" i="3"/>
  <c r="BT734" i="2"/>
  <c r="BU720" i="2"/>
  <c r="BW281" i="2"/>
  <c r="BW513" i="2"/>
  <c r="BW576" i="2"/>
  <c r="BV246" i="2"/>
  <c r="BS166" i="2"/>
  <c r="BW216" i="2"/>
  <c r="BW746" i="2"/>
  <c r="I181" i="3" s="1"/>
  <c r="BW330" i="2"/>
  <c r="BW540" i="2"/>
  <c r="BW539" i="2" s="1"/>
  <c r="BV471" i="2"/>
  <c r="BV450" i="2" s="1"/>
  <c r="BW661" i="2"/>
  <c r="BR734" i="2" l="1"/>
  <c r="BS734" i="2"/>
  <c r="BV338" i="2"/>
  <c r="BV280" i="2" s="1"/>
  <c r="BW512" i="2"/>
  <c r="BW280" i="2"/>
  <c r="BW736" i="2"/>
  <c r="BW738" i="2"/>
  <c r="I173" i="3" s="1"/>
  <c r="BV736" i="2"/>
  <c r="BV735" i="2" s="1"/>
  <c r="BW9" i="2"/>
  <c r="BW3" i="2" s="1"/>
  <c r="F4" i="3"/>
  <c r="G734" i="2"/>
  <c r="C5" i="3"/>
  <c r="I3" i="2"/>
  <c r="BW737" i="2"/>
  <c r="I172" i="3" s="1"/>
  <c r="BV9" i="2"/>
  <c r="BV3" i="2" s="1"/>
  <c r="I65" i="3"/>
  <c r="I726" i="2"/>
  <c r="L45" i="3"/>
  <c r="L42" i="3"/>
  <c r="L39" i="3"/>
  <c r="L36" i="3"/>
  <c r="C64" i="3"/>
  <c r="L41" i="3"/>
  <c r="L34" i="3"/>
  <c r="L43" i="3"/>
  <c r="L44" i="3"/>
  <c r="L40" i="3"/>
  <c r="L38" i="3"/>
  <c r="L35" i="3"/>
  <c r="L37" i="3"/>
  <c r="G722" i="2"/>
  <c r="I722" i="2" s="1"/>
  <c r="I718" i="2"/>
  <c r="BV740" i="2"/>
  <c r="BV513" i="2"/>
  <c r="BV512" i="2" s="1"/>
  <c r="H720" i="2"/>
  <c r="J720" i="2" s="1"/>
  <c r="H724" i="2"/>
  <c r="J724" i="2" s="1"/>
  <c r="F65" i="3"/>
  <c r="I720" i="2"/>
  <c r="J3" i="2"/>
  <c r="P734" i="2"/>
  <c r="Y734" i="2" s="1"/>
  <c r="Y3" i="2"/>
  <c r="BV737" i="2"/>
  <c r="I119" i="3" l="1"/>
  <c r="I120" i="3" s="1"/>
  <c r="BV734" i="2"/>
  <c r="BW735" i="2"/>
  <c r="BW734" i="2" s="1"/>
  <c r="I171" i="3"/>
  <c r="I183" i="3" s="1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91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93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95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330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450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514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  <comment ref="K519" authorId="0" shapeId="0">
      <text>
        <r>
          <rPr>
            <sz val="11"/>
            <color rgb="FF000000"/>
            <rFont val="Calibri"/>
            <scheme val="minor"/>
          </rPr>
          <t>valor a anular para recompor orçamento R$ 240.409,22
======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9NYqrIzViHVO587OYJPEqRiGb+w=="/>
    </ext>
  </extLst>
</comments>
</file>

<file path=xl/sharedStrings.xml><?xml version="1.0" encoding="utf-8"?>
<sst xmlns="http://schemas.openxmlformats.org/spreadsheetml/2006/main" count="2030" uniqueCount="1191">
  <si>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</si>
  <si>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</si>
  <si>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</si>
  <si>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</si>
  <si>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</si>
  <si>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</si>
  <si>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</si>
  <si>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</si>
  <si>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</si>
  <si>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</si>
  <si>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</si>
  <si>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</si>
  <si>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</si>
  <si>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</si>
  <si>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</si>
  <si>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</si>
  <si>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</si>
  <si>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</si>
  <si>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</si>
  <si>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</si>
  <si>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</si>
  <si>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</si>
  <si>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</si>
  <si>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</si>
  <si>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</si>
  <si>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</si>
  <si>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</si>
  <si>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</si>
  <si>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</si>
  <si>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</si>
  <si>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</si>
  <si>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</si>
  <si>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</si>
  <si>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</si>
  <si>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</si>
  <si>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</si>
  <si>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</si>
  <si>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</si>
  <si>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</si>
  <si>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</si>
  <si>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</si>
  <si>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</si>
  <si>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</si>
  <si>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</si>
  <si>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</si>
  <si>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</si>
  <si>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</si>
  <si>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</si>
  <si>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</si>
  <si>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</si>
  <si>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</si>
  <si>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</si>
  <si>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</si>
  <si>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</si>
  <si>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</si>
  <si>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</si>
  <si>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</si>
  <si>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</si>
  <si>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</si>
  <si>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</si>
  <si>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</si>
  <si>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</si>
  <si>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</si>
  <si>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</si>
  <si>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</si>
  <si>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</si>
  <si>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</si>
  <si>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</si>
  <si>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</si>
  <si>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</si>
  <si>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</si>
  <si>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</si>
  <si>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</si>
  <si>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</si>
  <si>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</si>
  <si>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</si>
  <si>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</si>
  <si>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</si>
  <si>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</si>
  <si>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</si>
  <si>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</si>
  <si>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</si>
  <si>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t>OUTROS RECURSOS</t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</si>
  <si>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</si>
  <si>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</si>
  <si>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</si>
  <si>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</si>
  <si>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</si>
  <si>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</rPr>
      <t xml:space="preserve">OUTROS        </t>
    </r>
    <r>
      <rPr>
        <b/>
        <sz val="10"/>
        <color rgb="FF000000"/>
        <rFont val="Calibri"/>
      </rPr>
      <t>(PNAES, FNDE, Receita Própria,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</si>
  <si>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</si>
  <si>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</si>
  <si>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</si>
  <si>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</si>
  <si>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</si>
  <si>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</si>
  <si>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</si>
  <si>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</si>
  <si>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</si>
  <si>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</si>
  <si>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</si>
  <si>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</si>
  <si>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</si>
  <si>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</si>
  <si>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</si>
  <si>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</si>
  <si>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</si>
  <si>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</si>
  <si>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</si>
  <si>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</si>
  <si>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</si>
  <si>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</si>
  <si>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</si>
  <si>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</si>
  <si>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</si>
  <si>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</si>
  <si>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DG - DIREÇÃO GERAL</t>
  </si>
  <si>
    <t>Díarias e Passagens</t>
  </si>
  <si>
    <t>2022NE000002</t>
  </si>
  <si>
    <t>3.33.90.14-14</t>
  </si>
  <si>
    <t>Diárias a servidores</t>
  </si>
  <si>
    <t>3.33.90.33-01</t>
  </si>
  <si>
    <t>Passagens para o país</t>
  </si>
  <si>
    <t>2022NE000197</t>
  </si>
  <si>
    <t>3.33.90.36-02</t>
  </si>
  <si>
    <t>Diárias a Colaboradores Eventuais</t>
  </si>
  <si>
    <t>DAD - DIRETORIA DE ADMINISTRAÇÃO</t>
  </si>
  <si>
    <t>GERAL</t>
  </si>
  <si>
    <t>2022NE000056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</si>
  <si>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</si>
  <si>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</si>
  <si>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</si>
  <si>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</si>
  <si>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</si>
  <si>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</si>
  <si>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</si>
  <si>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</si>
  <si>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</si>
  <si>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3.33.90.30-19</t>
  </si>
  <si>
    <t>Material de Consumo - Embalagens - Separação Resíduos</t>
  </si>
  <si>
    <t>Material de Consumo - Embalagens</t>
  </si>
  <si>
    <t>2020NE800343</t>
  </si>
  <si>
    <t>Material de Consumo - Embalagens-DELCIO</t>
  </si>
  <si>
    <t>2020NE800161</t>
  </si>
  <si>
    <t>3.33.90.30-21</t>
  </si>
  <si>
    <t>Material de Consumo - Copa e Cozinha- OMEGA</t>
  </si>
  <si>
    <t>2022NE000066</t>
  </si>
  <si>
    <t>3.33.90.30-22</t>
  </si>
  <si>
    <t>Material de Consumo - Limpeza/DARLU</t>
  </si>
  <si>
    <t>2022NE000067</t>
  </si>
  <si>
    <t>2020NE800340</t>
  </si>
  <si>
    <t>Material de Consumo - Limpeza- CCK/GD ATACADISTA</t>
  </si>
  <si>
    <t>2022NE000068</t>
  </si>
  <si>
    <t>2020NE800341</t>
  </si>
  <si>
    <t>Material de Consumo - Limpeza- CHRISPIM/JJ VITALLI</t>
  </si>
  <si>
    <t>2022NE000069</t>
  </si>
  <si>
    <t>Material de Consumo - Limpeza- DELCIO/KAPRICHO</t>
  </si>
  <si>
    <t>2020NE800353</t>
  </si>
  <si>
    <t>Material de Consumo - Limpeza- LUTAR</t>
  </si>
  <si>
    <t>2020NE800354</t>
  </si>
  <si>
    <t>Material de Consumo - Limpeza- M  MARTINS</t>
  </si>
  <si>
    <t>2020NE800360</t>
  </si>
  <si>
    <t>Material de Consumo - Limpeza- PURA SAUDE</t>
  </si>
  <si>
    <t>2020NE800404</t>
  </si>
  <si>
    <t>Material de Consumo - Limpeza- DELCIO</t>
  </si>
  <si>
    <t>2020NE800406</t>
  </si>
  <si>
    <t>2020NE800352</t>
  </si>
  <si>
    <t>3.33.90.30-23</t>
  </si>
  <si>
    <t>Material de Consumo - Uniformes, Tecidos ... - LUIS FERNANDO</t>
  </si>
  <si>
    <t>2022NE000059</t>
  </si>
  <si>
    <t>3.33.90.30-24</t>
  </si>
  <si>
    <t>Material de Consumo - Manut de Bens Imóveis/Inst- CCK/MJ</t>
  </si>
  <si>
    <t>2022NE000057</t>
  </si>
  <si>
    <t>Material de Consumo - Manut de Bens Imóveis/Inst- ELIZANE</t>
  </si>
  <si>
    <t>2022NE000045</t>
  </si>
  <si>
    <t>Material de Consumo -S VASCONCELOS</t>
  </si>
  <si>
    <t>2022NE000046</t>
  </si>
  <si>
    <t>Material de Consumo -CORATTO PISOS</t>
  </si>
  <si>
    <t>2022NE000047</t>
  </si>
  <si>
    <t>Material de Consumo -PRISCILA VALADÃO</t>
  </si>
  <si>
    <t>2022NE000048</t>
  </si>
  <si>
    <t>Material de Consumo -RM COMÉRCIO</t>
  </si>
  <si>
    <t>2022NE000049</t>
  </si>
  <si>
    <t>Material de Consumo - RANCHO</t>
  </si>
  <si>
    <t>2022NE000050</t>
  </si>
  <si>
    <t>Material de Consumo - JARDEL JACOBS</t>
  </si>
  <si>
    <t>2022NE000051</t>
  </si>
  <si>
    <t>Material de Consumo -  JJ VITALLI</t>
  </si>
  <si>
    <t>2022NE000052</t>
  </si>
  <si>
    <t>Material de Consumo - COMERCIAL SPONCHIADO</t>
  </si>
  <si>
    <t>2022NE000053</t>
  </si>
  <si>
    <t>Material de Consumo -  BRASIDAS EIRELLI</t>
  </si>
  <si>
    <t>2022NE000055</t>
  </si>
  <si>
    <t>Material de Consumo -  LICITARE</t>
  </si>
  <si>
    <t>2022NE000147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</si>
  <si>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</t>
    </r>
  </si>
  <si>
    <t>2022NE000089</t>
  </si>
  <si>
    <t>Material de Consumo - Manut de Bens Imóveis/Inst-VOLT MATERIAIS</t>
  </si>
  <si>
    <t>2022NE000130</t>
  </si>
  <si>
    <t>Material de Consumo - Manut de Bens Imóveis/Inst-DANIELA TENFEN</t>
  </si>
  <si>
    <t>2022NE000134</t>
  </si>
  <si>
    <t>2022NE000131</t>
  </si>
  <si>
    <t>Material de Consumo - Manut de Bens Imóveis/Inst-RANCHO</t>
  </si>
  <si>
    <t>2022NE000132</t>
  </si>
  <si>
    <t>2022NE000133</t>
  </si>
  <si>
    <t>2022NE000135</t>
  </si>
  <si>
    <t>2022NE000172</t>
  </si>
  <si>
    <t>2022NE000184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</si>
  <si>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</t>
    </r>
  </si>
  <si>
    <t>2022NE000120</t>
  </si>
  <si>
    <t>3.33.90.30-26</t>
  </si>
  <si>
    <t>3.33.90.30-25</t>
  </si>
  <si>
    <t>Material de Consumo - Manut de Bens Móveis</t>
  </si>
  <si>
    <t>2022NE000148</t>
  </si>
  <si>
    <t>Material de Consumo - Elétrico e Eletrônico- ATACASUL</t>
  </si>
  <si>
    <t>2022NE000236</t>
  </si>
  <si>
    <t>2020NE800351</t>
  </si>
  <si>
    <t>3.33.90.30-28</t>
  </si>
  <si>
    <t>Material de Consumo - Proteção e Segurança LIMP</t>
  </si>
  <si>
    <t>Material de Consumo - Proteção e Segurança- LUIZ FERNANDO</t>
  </si>
  <si>
    <t>3.33.90.30-39</t>
  </si>
  <si>
    <t>Material de Consumo - Manut de Veículos</t>
  </si>
  <si>
    <t>3.33.90.30-42</t>
  </si>
  <si>
    <t>Material de Consumo - Ferramentas</t>
  </si>
  <si>
    <t>Material de Consumo - Ferramentas-LIMP</t>
  </si>
  <si>
    <t>Serviços Terceirizados com Cessão de Mão de Obra</t>
  </si>
  <si>
    <t>3.33.90.37-01</t>
  </si>
  <si>
    <t>Apoio Administrativo - Auxiliar Administrativo</t>
  </si>
  <si>
    <t>2022NE000086</t>
  </si>
  <si>
    <t>3.33.90.37-02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</si>
  <si>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</t>
    </r>
  </si>
  <si>
    <t>2022NE000231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</si>
  <si>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40/2022)</t>
    </r>
  </si>
  <si>
    <t>2022NE000061</t>
  </si>
  <si>
    <t>2021NE000012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</si>
  <si>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</si>
  <si>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</si>
  <si>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</si>
  <si>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</si>
  <si>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</si>
  <si>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</si>
  <si>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</si>
  <si>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</si>
  <si>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</si>
  <si>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</si>
  <si>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</si>
  <si>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</si>
  <si>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</si>
  <si>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</si>
  <si>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2022NE000101</t>
  </si>
  <si>
    <t>2021NE000009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</si>
  <si>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 (PHOENIX)</t>
    </r>
  </si>
  <si>
    <t>Serviços Terceirizados por Demanda</t>
  </si>
  <si>
    <t>2020NE800260</t>
  </si>
  <si>
    <t>3.33.90.33-03</t>
  </si>
  <si>
    <r>
      <rPr>
        <sz val="12"/>
        <color theme="1"/>
        <rFont val="Calibri"/>
      </rPr>
      <t xml:space="preserve">Serviços de Máquinas </t>
    </r>
    <r>
      <rPr>
        <b/>
        <sz val="12"/>
        <color theme="1"/>
        <rFont val="Calibri"/>
      </rPr>
      <t>- DM SPRINGER Terraplanagem</t>
    </r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</si>
  <si>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</si>
  <si>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</si>
  <si>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</si>
  <si>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</si>
  <si>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2022NE000159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</si>
  <si>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</t>
    </r>
  </si>
  <si>
    <t>2020NE000102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</si>
  <si>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</si>
  <si>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</si>
  <si>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</si>
  <si>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</si>
  <si>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t>2021NE000144</t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</si>
  <si>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</si>
  <si>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2022NE000096</t>
  </si>
  <si>
    <t>2020NE800292</t>
  </si>
  <si>
    <t>3.33.90.39-17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</si>
  <si>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</si>
  <si>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2022NE000097</t>
  </si>
  <si>
    <t>2020NE800030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</si>
  <si>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</si>
  <si>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2022NE000070</t>
  </si>
  <si>
    <t>2021NE000008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</si>
  <si>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</si>
  <si>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2022NE000065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</si>
  <si>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</si>
  <si>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2022NE000194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</si>
  <si>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FAK (Janelas e Portas)</t>
    </r>
  </si>
  <si>
    <t>2021NE000179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</si>
  <si>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</si>
  <si>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2021NE000180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</si>
  <si>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</si>
  <si>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</si>
  <si>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</si>
  <si>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2022NE000256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</si>
  <si>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</si>
  <si>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2022NE000257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</si>
  <si>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</si>
  <si>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3.33.90.39-19</t>
  </si>
  <si>
    <t>Manutenção e Conservação de Veículos</t>
  </si>
  <si>
    <t>2019NE800188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</si>
  <si>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</si>
  <si>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</si>
  <si>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2022NE000093</t>
  </si>
  <si>
    <t>2020NE800145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</si>
  <si>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</si>
  <si>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</si>
  <si>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2021NE000070</t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</si>
  <si>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</si>
  <si>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</si>
  <si>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</si>
  <si>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</si>
  <si>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2022NE000168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</si>
  <si>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</si>
  <si>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</si>
  <si>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2022NE000160</t>
  </si>
  <si>
    <t>2020NE800026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</si>
  <si>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</si>
  <si>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</si>
  <si>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t>2022NE000115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</si>
  <si>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</si>
  <si>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</si>
  <si>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</si>
  <si>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</si>
  <si>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</si>
  <si>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</si>
  <si>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Serviços de Energia Elétrica</t>
  </si>
  <si>
    <t>2022NE000122</t>
  </si>
  <si>
    <t>2020NE800085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</si>
  <si>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</si>
  <si>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</si>
  <si>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</si>
  <si>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</si>
  <si>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2022NE000037</t>
  </si>
  <si>
    <t>3.33.90.47-22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</si>
  <si>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</si>
  <si>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Serviços de Tecnologia da Informação e Comunicação</t>
  </si>
  <si>
    <t>2022NE000100</t>
  </si>
  <si>
    <t>2021NE000097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</si>
  <si>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</si>
  <si>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</si>
  <si>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</si>
  <si>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SERVIÇOS TELECOMUNICAÇÕES</t>
    </r>
  </si>
  <si>
    <t>2022NE000054</t>
  </si>
  <si>
    <t>2021NE000007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</si>
  <si>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</si>
  <si>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</si>
  <si>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2022NE000075</t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</si>
  <si>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</si>
  <si>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</si>
  <si>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Obrigações Tributárias e Previdenciárias</t>
  </si>
  <si>
    <t>2022NE000211</t>
  </si>
  <si>
    <t>2021NE000005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</si>
  <si>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</si>
  <si>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</si>
  <si>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2022NE000189</t>
  </si>
  <si>
    <t>3.33.91.47-18</t>
  </si>
  <si>
    <t>Obrigações Tributárias</t>
  </si>
  <si>
    <t>2022NE000225</t>
  </si>
  <si>
    <t>Obrigações Tributárias - INSS Colavores Externos (PS 2023)</t>
  </si>
  <si>
    <t>2022NE000205</t>
  </si>
  <si>
    <t>3.33.90.39-37</t>
  </si>
  <si>
    <t>Juros e Multas - INSS Argenta (Atraso)</t>
  </si>
  <si>
    <t>Outras Despesas Correntes</t>
  </si>
  <si>
    <t>2022NE000025</t>
  </si>
  <si>
    <t>3.33.90.93-02</t>
  </si>
  <si>
    <t>Reeembolso/ressarcimento despesas servidores</t>
  </si>
  <si>
    <t>Obras e Instalações - PTRES 193570 (Fonte 81000)</t>
  </si>
  <si>
    <t>2022NE000153</t>
  </si>
  <si>
    <t>3.44.90.51-91</t>
  </si>
  <si>
    <t>Obras em Andamento - Telhado agronomia- IVAN MARCOS</t>
  </si>
  <si>
    <t>Equipamentos e Material Permanente</t>
  </si>
  <si>
    <t>2021NE000182</t>
  </si>
  <si>
    <t>3.44.90.52-33</t>
  </si>
  <si>
    <t>Equipamentos - SPACE INFORMÁTICA</t>
  </si>
  <si>
    <t>2021NE000169</t>
  </si>
  <si>
    <t>3.44.90.52-42</t>
  </si>
  <si>
    <t>Equipamentos - IND COM COLCHOES ORTHOVIDA</t>
  </si>
  <si>
    <t>2021NE000188</t>
  </si>
  <si>
    <t xml:space="preserve">Equipamentos - ESCOLARE IND </t>
  </si>
  <si>
    <t>2021NE000189</t>
  </si>
  <si>
    <t>Equipamentos - ESCRIBUL COMERCIO DE MOVEIS</t>
  </si>
  <si>
    <t>EXTRAORÇAMENTÁRIO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</si>
  <si>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</si>
  <si>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</si>
  <si>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</si>
  <si>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</si>
  <si>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</si>
  <si>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t>Serviços de Manutenção - Tabela SINAPI</t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</si>
  <si>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</si>
  <si>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</si>
  <si>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</si>
  <si>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</si>
  <si>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</si>
  <si>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Centro de Saúde (EO)</t>
  </si>
  <si>
    <t>Obras em Andamento - Novo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</si>
  <si>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</si>
  <si>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</si>
  <si>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</si>
  <si>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</si>
  <si>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PPCI (EO)</t>
  </si>
  <si>
    <t>3.44.90.52-34</t>
  </si>
  <si>
    <t>Equipamentos -  Lixeiras Seletivas</t>
  </si>
  <si>
    <t>Receita Própria - Fonte 81150</t>
  </si>
  <si>
    <t>2022NE000252</t>
  </si>
  <si>
    <r>
      <rPr>
        <sz val="12"/>
        <color theme="1"/>
        <rFont val="Calibri"/>
      </rPr>
      <t xml:space="preserve">Diárias a servidores </t>
    </r>
    <r>
      <rPr>
        <b/>
        <sz val="12"/>
        <color theme="1"/>
        <rFont val="Calibri"/>
      </rPr>
      <t>(Fonte 81500)</t>
    </r>
  </si>
  <si>
    <t>2022NE000230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</si>
  <si>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 (Fonte 81500)</t>
    </r>
  </si>
  <si>
    <t>2022NE000232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</si>
  <si>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40/2022-Fonte 81500)</t>
    </r>
  </si>
  <si>
    <t>2022NE000222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</si>
  <si>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81500)</t>
    </r>
  </si>
  <si>
    <t>2022NE000265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</si>
  <si>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 (Fonte 81500)</t>
    </r>
  </si>
  <si>
    <t>2022NE000266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</si>
  <si>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81500)</t>
    </r>
  </si>
  <si>
    <t>2022NE000247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</si>
  <si>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 (Fonte 81500)</t>
    </r>
  </si>
  <si>
    <t>2022NE000240</t>
  </si>
  <si>
    <t>3.44.90.52-38</t>
  </si>
  <si>
    <r>
      <rPr>
        <sz val="12"/>
        <color theme="1"/>
        <rFont val="Calibri"/>
      </rPr>
      <t xml:space="preserve">Equipamentos - Aparelho de Solda - </t>
    </r>
    <r>
      <rPr>
        <b/>
        <sz val="12"/>
        <color theme="1"/>
        <rFont val="Calibri"/>
      </rPr>
      <t>XAVIER FERRAMENTAS</t>
    </r>
    <r>
      <rPr>
        <sz val="12"/>
        <color theme="1"/>
        <rFont val="Calibri"/>
      </rPr>
      <t xml:space="preserve"> </t>
    </r>
    <r>
      <rPr>
        <b/>
        <sz val="12"/>
        <color theme="1"/>
        <rFont val="Calibri"/>
      </rPr>
      <t>(Fonte 81500)</t>
    </r>
  </si>
  <si>
    <t>DPDI - DIRETORIA DE PLANEJ E DESENV INSTITUCIONAL</t>
  </si>
  <si>
    <t>2022NE000063</t>
  </si>
  <si>
    <t>2022NE000203</t>
  </si>
  <si>
    <t>3.33.90.39-23</t>
  </si>
  <si>
    <r>
      <rPr>
        <sz val="12"/>
        <color theme="1"/>
        <rFont val="Calibri"/>
      </rPr>
      <t xml:space="preserve">Serviços de Festividades e Homenagens - </t>
    </r>
    <r>
      <rPr>
        <b/>
        <sz val="12"/>
        <color theme="1"/>
        <rFont val="Calibri"/>
      </rPr>
      <t>DF TURISMO E EVENTOS</t>
    </r>
  </si>
  <si>
    <t>3.33.90.39-48</t>
  </si>
  <si>
    <t>Serviços de Seleção e Treinamento - Concurso Público</t>
  </si>
  <si>
    <t>2022NE000221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</si>
  <si>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RB COMUNICAÇÃO VISUAL</t>
    </r>
  </si>
  <si>
    <t>2021NE000192</t>
  </si>
  <si>
    <t>3.44.90.52-30</t>
  </si>
  <si>
    <t>Equipamentos -NADJA MARINA PIRES</t>
  </si>
  <si>
    <t>2021NE000195</t>
  </si>
  <si>
    <t>Equipamentos -GP TRADE CONPANY ELETRÔNICA</t>
  </si>
  <si>
    <t>2021NE000191</t>
  </si>
  <si>
    <t>3.44.90.52-35</t>
  </si>
  <si>
    <t>Equipamentos -B2G COMERCIO DE PRODUTOS LTDA</t>
  </si>
  <si>
    <t>2021NE000193</t>
  </si>
  <si>
    <t>Equipamentos -SOLARIS TELEINFORMÁTICA LTDA</t>
  </si>
  <si>
    <t>2021NE000140</t>
  </si>
  <si>
    <t>3.44.90.52-41</t>
  </si>
  <si>
    <t>Equipamentos -DATEN</t>
  </si>
  <si>
    <t>2021NE000141</t>
  </si>
  <si>
    <t>Equipamentos -PERFIL</t>
  </si>
  <si>
    <t>2021NE000175</t>
  </si>
  <si>
    <t>Equipamentos - LIDER NOTE BOOKS</t>
  </si>
  <si>
    <t>2021NE000194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</si>
  <si>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</si>
  <si>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</si>
  <si>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</si>
  <si>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</si>
  <si>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</si>
  <si>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</si>
  <si>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</si>
  <si>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</si>
  <si>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</si>
  <si>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</si>
  <si>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</si>
  <si>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</si>
  <si>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</si>
  <si>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</si>
  <si>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</si>
  <si>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</si>
  <si>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Diárias a Servidores</t>
  </si>
  <si>
    <t>2022NE000216</t>
  </si>
  <si>
    <t>3.33.90.36-28</t>
  </si>
  <si>
    <t>2022NE000161</t>
  </si>
  <si>
    <t>Serviços Gráficos e Editoriais- POLIMPRESSOS</t>
  </si>
  <si>
    <t>2021NE000124</t>
  </si>
  <si>
    <t>Serviços Gráficos e Editoriais- GL EDITORA</t>
  </si>
  <si>
    <t>2021NE000125</t>
  </si>
  <si>
    <t>Serviços Gráficos e Editoriais- CADE NEVES</t>
  </si>
  <si>
    <t>2021NE000127</t>
  </si>
  <si>
    <t>Serviços Gráficos e Editoriais- RB COMUNIC. VISUAL</t>
  </si>
  <si>
    <t>2021NE000128</t>
  </si>
  <si>
    <t>Serviços Gráficos e Editoriais- GRÁFICA LUAR</t>
  </si>
  <si>
    <t>2021NE000129</t>
  </si>
  <si>
    <t>Serviços Gráficos e Editoriais-ROGER BRAHUN</t>
  </si>
  <si>
    <t>TECNOLOGIA DA INFORMAÇÃO E COMUNICAÇÃO</t>
  </si>
  <si>
    <t>2022NE000110</t>
  </si>
  <si>
    <t>2020NE800414</t>
  </si>
  <si>
    <t>3.33.90.30-17</t>
  </si>
  <si>
    <t>Material de Consumo - Processamento de Dados - C MOURA/BNB</t>
  </si>
  <si>
    <t>2022NE000111</t>
  </si>
  <si>
    <t>Material de Consumo - Processamento de Dados- PELSTER</t>
  </si>
  <si>
    <t>2022NE000112</t>
  </si>
  <si>
    <t>Material de Consumo - Processamento de Dados- MARCIA ADRIANA</t>
  </si>
  <si>
    <t>2022NE000113</t>
  </si>
  <si>
    <t>Material de Consumo - Processamento de Dados- ALZOTEC</t>
  </si>
  <si>
    <t>2022NE000114</t>
  </si>
  <si>
    <t>Material de Consumo - Processamento de Dados- V.C. DA ROCHA</t>
  </si>
  <si>
    <t>2022NE000003</t>
  </si>
  <si>
    <t>2022NE000004</t>
  </si>
  <si>
    <t>Material de Consumo - Processamento de Dados- ELETROQUIP</t>
  </si>
  <si>
    <t>2022NE000005</t>
  </si>
  <si>
    <t>Material de Consumo - Processamento de Dados- J.C.MENDES</t>
  </si>
  <si>
    <t>2022NE000007</t>
  </si>
  <si>
    <t>Material de Consumo - Processamento de Dados- NORTON</t>
  </si>
  <si>
    <t>2022NE000009</t>
  </si>
  <si>
    <t>Material de Consumo - Processamento de Dados- V.C.DA ROCHA</t>
  </si>
  <si>
    <t>2022NE000011</t>
  </si>
  <si>
    <t>Material de Consumo - Processamento de Dados- BNB COMÉRCIO</t>
  </si>
  <si>
    <t>2022NE000012</t>
  </si>
  <si>
    <t>2022NE000013</t>
  </si>
  <si>
    <t>2022NE000014</t>
  </si>
  <si>
    <t>2022NE000015</t>
  </si>
  <si>
    <t>Material de Consumo - Processamento de Dados- ZENITE</t>
  </si>
  <si>
    <t>2022NE000220</t>
  </si>
  <si>
    <r>
      <rPr>
        <sz val="12"/>
        <color theme="1"/>
        <rFont val="Calibri"/>
      </rPr>
      <t xml:space="preserve">Material de Consumo - Manutenção Central Telefônica - </t>
    </r>
    <r>
      <rPr>
        <sz val="12"/>
        <color theme="1"/>
        <rFont val="Calibri"/>
      </rPr>
      <t>FG REGINATO</t>
    </r>
  </si>
  <si>
    <t>2022NE000010</t>
  </si>
  <si>
    <t>Material de Consumo - Processamento de Dados- C KOZAR DOS SANTOS</t>
  </si>
  <si>
    <t>2022NE000006</t>
  </si>
  <si>
    <t>3.33.90.30-29</t>
  </si>
  <si>
    <t>Material de Consumo - Processamento de Dados- NETLIFE COM</t>
  </si>
  <si>
    <t>2022NE000008</t>
  </si>
  <si>
    <t>Material de Consumo - Processamento de Dados- QUALITY</t>
  </si>
  <si>
    <t>2022NE000099</t>
  </si>
  <si>
    <t>2020NE800024</t>
  </si>
  <si>
    <t>3.33.90.40-07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</si>
  <si>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</si>
  <si>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2022NE000021</t>
  </si>
  <si>
    <t>3.33.90.40-11</t>
  </si>
  <si>
    <t>Material de Consumo - Processamento de Dados- ABR INFORMÁTICA</t>
  </si>
  <si>
    <t>2022NE000208</t>
  </si>
  <si>
    <t>2021NE000092</t>
  </si>
  <si>
    <t>3.33.90.40-12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</si>
  <si>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</si>
  <si>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2022NE000098</t>
  </si>
  <si>
    <t>2021NE000011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</si>
  <si>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</si>
  <si>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</si>
  <si>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</si>
  <si>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2022NE000083</t>
  </si>
  <si>
    <t>2021NE000006</t>
  </si>
  <si>
    <r>
      <rPr>
        <sz val="12"/>
        <color theme="1"/>
        <rFont val="Calibri"/>
      </rPr>
      <t xml:space="preserve">Comunicação de Dados - Link Internet - </t>
    </r>
    <r>
      <rPr>
        <b/>
        <sz val="12"/>
        <color theme="1"/>
        <rFont val="Calibri"/>
      </rPr>
      <t>BRASIL SERV TELECOM</t>
    </r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</si>
  <si>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</si>
  <si>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</si>
  <si>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</si>
  <si>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Telefonia Fixa e Móvel</t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</si>
  <si>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</si>
  <si>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</si>
  <si>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</si>
  <si>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</si>
  <si>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3.33.90.40-06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</si>
  <si>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</si>
  <si>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</si>
  <si>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</si>
  <si>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</si>
  <si>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</si>
  <si>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</si>
  <si>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</si>
  <si>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</rPr>
      <t xml:space="preserve">Equipamentos - Projetores - CAMILA GAVASSONI </t>
    </r>
    <r>
      <rPr>
        <b/>
        <sz val="12"/>
        <color theme="1"/>
        <rFont val="Calibri"/>
      </rPr>
      <t>(Fonte 81880)</t>
    </r>
  </si>
  <si>
    <t>2022NE000263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</si>
  <si>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81880)</t>
    </r>
  </si>
  <si>
    <t>Equipamentos - EP de Bancada - TED 10633 - Fonte 81880</t>
  </si>
  <si>
    <t>2021NE000148</t>
  </si>
  <si>
    <r>
      <rPr>
        <sz val="12"/>
        <color theme="1"/>
        <rFont val="Calibri"/>
      </rPr>
      <t>Equipamentos -DELL (</t>
    </r>
    <r>
      <rPr>
        <b/>
        <sz val="12"/>
        <color theme="1"/>
        <rFont val="Calibri"/>
      </rPr>
      <t>Emenda Parlamentar</t>
    </r>
    <r>
      <rPr>
        <sz val="12"/>
        <color theme="1"/>
        <rFont val="Calibri"/>
      </rPr>
      <t>)</t>
    </r>
  </si>
  <si>
    <t>2022NE000224</t>
  </si>
  <si>
    <t>3.33.90.39-59</t>
  </si>
  <si>
    <r>
      <rPr>
        <sz val="12"/>
        <color theme="1"/>
        <rFont val="Calibri"/>
      </rPr>
      <t xml:space="preserve">Serviço de Aúdio,Video e Foto - </t>
    </r>
    <r>
      <rPr>
        <b/>
        <sz val="12"/>
        <color theme="1"/>
        <rFont val="Calibri"/>
      </rPr>
      <t>DF TURISMO (FONTE 81500)</t>
    </r>
  </si>
  <si>
    <t>2022NE000105</t>
  </si>
  <si>
    <t>2021NE000139</t>
  </si>
  <si>
    <r>
      <rPr>
        <sz val="12"/>
        <color theme="1"/>
        <rFont val="Calibri"/>
      </rPr>
      <t>Equipamentos -DELL/</t>
    </r>
    <r>
      <rPr>
        <b/>
        <sz val="12"/>
        <color theme="1"/>
        <rFont val="Calibri"/>
      </rPr>
      <t>ATHENAS</t>
    </r>
  </si>
  <si>
    <t>2022NE000106</t>
  </si>
  <si>
    <t>Equipamentos de TIC Permanente - NADJA MARINA</t>
  </si>
  <si>
    <t>2022NE000107</t>
  </si>
  <si>
    <t>3.44.90.52-45</t>
  </si>
  <si>
    <t>Equipamentos de TIC Permanente - HKA TECNOLOGIA</t>
  </si>
  <si>
    <t>2022NE000280</t>
  </si>
  <si>
    <r>
      <rPr>
        <sz val="12"/>
        <color theme="1"/>
        <rFont val="Calibri"/>
      </rPr>
      <t xml:space="preserve">Equipamentos - Projetores - TOP MIX </t>
    </r>
    <r>
      <rPr>
        <b/>
        <sz val="12"/>
        <color theme="1"/>
        <rFont val="Calibri"/>
      </rPr>
      <t>(Fonte 81500)</t>
    </r>
  </si>
  <si>
    <t>2022NE000281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</si>
  <si>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81500)</t>
    </r>
  </si>
  <si>
    <t>DE - DIRETORIA DE ENSINO</t>
  </si>
  <si>
    <t>2022NE000044</t>
  </si>
  <si>
    <t>Locação de Meios de Transporte</t>
  </si>
  <si>
    <t>2022NE000116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</si>
  <si>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</si>
  <si>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</si>
  <si>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</si>
  <si>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</si>
  <si>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"/>
      </rPr>
      <t>Bolsas de Estudo no País - Bolsas de Apoio - PRONATEC -</t>
    </r>
    <r>
      <rPr>
        <sz val="12"/>
        <color rgb="FFFF0000"/>
        <rFont val="Calibri"/>
      </rPr>
      <t xml:space="preserve"> </t>
    </r>
    <r>
      <rPr>
        <b/>
        <sz val="12"/>
        <color rgb="FFFF0000"/>
        <rFont val="Calibri"/>
      </rPr>
      <t>Mulheres Mil</t>
    </r>
  </si>
  <si>
    <t>2022NE000073</t>
  </si>
  <si>
    <t>Reeembolso/ressarcimento despesas servidores/DE</t>
  </si>
  <si>
    <t>3.33.90.30-11</t>
  </si>
  <si>
    <t>Material de Consumo - Químicos</t>
  </si>
  <si>
    <t>2022NE000137</t>
  </si>
  <si>
    <t>3.33.90.30-14</t>
  </si>
  <si>
    <t xml:space="preserve">Material de Consumo - Educativo e Esportivo  ANDRE E. S. SCHILLING </t>
  </si>
  <si>
    <t>2022NE000138</t>
  </si>
  <si>
    <t>Material de Consumo - Educativo e Esportivo - MARKAS</t>
  </si>
  <si>
    <t>2022NE000139</t>
  </si>
  <si>
    <t>Material de Consumo - Educativo e Esportivo</t>
  </si>
  <si>
    <t>2022NE000140</t>
  </si>
  <si>
    <t>2022NE000141</t>
  </si>
  <si>
    <t>2022NE000142</t>
  </si>
  <si>
    <t>Material de Consumo - Educativo e Esportivo - TOP HOUSE</t>
  </si>
  <si>
    <t>2022NE000182</t>
  </si>
  <si>
    <t>Material de Consumo - Educativo e Esportivo - ANA CATIA DOS SANTOS</t>
  </si>
  <si>
    <t>Material de Consumo - Expediente</t>
  </si>
  <si>
    <t>Material de Consumo - Uniformes, Tecidos e Aviamentos</t>
  </si>
  <si>
    <t>2022NE000176</t>
  </si>
  <si>
    <t>3.33.90.30-35</t>
  </si>
  <si>
    <t>Material de Consumo - Laboratorial - AWKALAB - Prod p/Laborat</t>
  </si>
  <si>
    <t>2022NE000177</t>
  </si>
  <si>
    <t>Material de Consumo - Laboratorial - MAKLAB COMERCIAL</t>
  </si>
  <si>
    <t>2022NE000178</t>
  </si>
  <si>
    <t>Material de Consumo - Laboratorial - CLAVIO PADOIN</t>
  </si>
  <si>
    <t>2022NE000179</t>
  </si>
  <si>
    <t>Material de Consumo - Laboratorial - QUALY COMERCIAL EIRELI</t>
  </si>
  <si>
    <t>2022NE000180</t>
  </si>
  <si>
    <t>Material de Consumo - Laboratorial - NATIVALAB Prod Laboratoriais</t>
  </si>
  <si>
    <t>2022NE000181</t>
  </si>
  <si>
    <t>Material de Consumo - Laboratorial - EXON Artigos p/ Laboratórios</t>
  </si>
  <si>
    <t>2022NE000183</t>
  </si>
  <si>
    <t>Material de Consumo - Laboratorial - JOSIEL DANILO DA SILVA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</si>
  <si>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</si>
  <si>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</si>
  <si>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</si>
  <si>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</si>
  <si>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-FORTESUL </t>
    </r>
    <r>
      <rPr>
        <b/>
        <sz val="12"/>
        <color rgb="FFFF0000"/>
        <rFont val="Calibri"/>
      </rPr>
      <t>(Retido Conta Vinculada)</t>
    </r>
  </si>
  <si>
    <t>2021NE000016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</si>
  <si>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</si>
  <si>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</si>
  <si>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</si>
  <si>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</si>
  <si>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</si>
  <si>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</si>
  <si>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</si>
  <si>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</si>
  <si>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2022NE062/173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</si>
  <si>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</si>
  <si>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</si>
  <si>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</si>
  <si>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</si>
  <si>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</si>
  <si>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</si>
  <si>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</si>
  <si>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</si>
  <si>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2022NE000095</t>
  </si>
  <si>
    <t>Auxilios p/Desenv de Estudos e Pesquisas  - Monitoria</t>
  </si>
  <si>
    <t>Serviços de Seleção e Treinamento - Invernada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</si>
  <si>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</si>
  <si>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</si>
  <si>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</si>
  <si>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</si>
  <si>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</si>
  <si>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</si>
  <si>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</si>
  <si>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</si>
  <si>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</si>
  <si>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</si>
  <si>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t>2022NE000104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</si>
  <si>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CIRANGELO</t>
    </r>
  </si>
  <si>
    <t>Seguros em Geral</t>
  </si>
  <si>
    <t>2022NE000118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</si>
  <si>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</si>
  <si>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2022NE000243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</si>
  <si>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</si>
  <si>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2022NE000244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</si>
  <si>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</si>
  <si>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</si>
  <si>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</si>
  <si>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PNAES - PTRES 170804</t>
  </si>
  <si>
    <t>2022NE000039</t>
  </si>
  <si>
    <t>Bolsas de Estudo no País - Bolsas de Apoio</t>
  </si>
  <si>
    <t>2022NE000038</t>
  </si>
  <si>
    <t>Bolsas de Estudo no País - auxílios financeiros</t>
  </si>
  <si>
    <t>2022NE000119</t>
  </si>
  <si>
    <t>Bolsas de Estudo no País - auxílios financeiros - PTRES MANUTENÇÃO</t>
  </si>
  <si>
    <t>2022NE000191</t>
  </si>
  <si>
    <t>Bolsas de Estudo no País - auxílios financeiros - EVENTOS</t>
  </si>
  <si>
    <t>2022NE000238</t>
  </si>
  <si>
    <t>Bolsas de Estudo no País - Auxílios Financeiros - JOGOS - JIF</t>
  </si>
  <si>
    <t>2022NE000136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</si>
  <si>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</si>
  <si>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</si>
  <si>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2022NE000239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</si>
  <si>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DF TURISMO</t>
    </r>
  </si>
  <si>
    <t>RIP - PTRES 170803</t>
  </si>
  <si>
    <t>2022NE000253</t>
  </si>
  <si>
    <t>2022NE000081</t>
  </si>
  <si>
    <t>2020NE800018</t>
  </si>
  <si>
    <t>Material de Consumo - Gás EICHELT EICHELT</t>
  </si>
  <si>
    <t>2022NE000145</t>
  </si>
  <si>
    <t>2022NE000188</t>
  </si>
  <si>
    <t>2022NE000036</t>
  </si>
  <si>
    <t>Material de Consumo - Gêneros de Alimentação-VALDERI</t>
  </si>
  <si>
    <t>2022NE000245</t>
  </si>
  <si>
    <t>2020NE800375</t>
  </si>
  <si>
    <r>
      <rPr>
        <sz val="12"/>
        <color theme="1"/>
        <rFont val="Calibri"/>
      </rPr>
      <t xml:space="preserve">Material de Consumo - Gêneros de Alimentação- </t>
    </r>
    <r>
      <rPr>
        <b/>
        <sz val="12"/>
        <color theme="1"/>
        <rFont val="Calibri"/>
      </rPr>
      <t>JULIANO FRANCISCATO</t>
    </r>
  </si>
  <si>
    <t>Material de Consumo - Gêneros de Alimentação - Agric Familiar</t>
  </si>
  <si>
    <t>2021NE000027</t>
  </si>
  <si>
    <t>Material de Consumo - Gêneros de Alimentação- LINASSI</t>
  </si>
  <si>
    <t>2021NE000170</t>
  </si>
  <si>
    <t>2021NE000172</t>
  </si>
  <si>
    <t>2021NE000173</t>
  </si>
  <si>
    <t>2021NE000176</t>
  </si>
  <si>
    <t>2022NE000149</t>
  </si>
  <si>
    <t>2022NE000150</t>
  </si>
  <si>
    <t xml:space="preserve">Material de Consumo - Gêneros de Alimentação-ANGELICA LOPES SAUERESSIG  </t>
  </si>
  <si>
    <t>2022NE000151</t>
  </si>
  <si>
    <t>Material de Consumo - Gêneros de Alimentação-LEANDRO SOUZA COIMBRA</t>
  </si>
  <si>
    <t>2022NE000246</t>
  </si>
  <si>
    <t>2022NE000248</t>
  </si>
  <si>
    <t>2022NE000251</t>
  </si>
  <si>
    <t xml:space="preserve">Material de Consumo - Material de Limpeza - MEGALIMPO </t>
  </si>
  <si>
    <t>2022NE000262</t>
  </si>
  <si>
    <t>Material de Consumo - Embalagens - MEGALIMPO</t>
  </si>
  <si>
    <t>2020NE800412</t>
  </si>
  <si>
    <t>Material de Consumo - Embalagens - DELCIO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</si>
  <si>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</si>
  <si>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</si>
  <si>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</si>
  <si>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</si>
  <si>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2021NE000146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</si>
  <si>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 xml:space="preserve">SULPORT </t>
    </r>
    <r>
      <rPr>
        <b/>
        <sz val="12"/>
        <color rgb="FFFF0000"/>
        <rFont val="Calibri"/>
      </rPr>
      <t xml:space="preserve"> (Retido Conta Vinculada)</t>
    </r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</si>
  <si>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</si>
  <si>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</si>
  <si>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2022NE000087</t>
  </si>
  <si>
    <t>2021NE000040</t>
  </si>
  <si>
    <r>
      <rPr>
        <sz val="12"/>
        <color rgb="FF000000"/>
        <rFont val="Calibri"/>
      </rPr>
      <t>Limpeza e Conservação -</t>
    </r>
    <r>
      <rPr>
        <b/>
        <sz val="12"/>
        <color rgb="FF000000"/>
        <rFont val="Calibri"/>
      </rPr>
      <t xml:space="preserve"> SULCLEAN</t>
    </r>
  </si>
  <si>
    <t>2022NE000079</t>
  </si>
  <si>
    <t>2021NE000046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</si>
  <si>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</si>
  <si>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2022NE000187</t>
  </si>
  <si>
    <t>Apoio Administrativo - Cuidador - PHENIX (PTRES 204273)</t>
  </si>
  <si>
    <t>2022NE000108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</si>
  <si>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-PHENIX </t>
    </r>
    <r>
      <rPr>
        <b/>
        <sz val="12"/>
        <color rgb="FFFF0000"/>
        <rFont val="Calibri"/>
      </rPr>
      <t>(PTRES 170803)</t>
    </r>
  </si>
  <si>
    <t>2021NE000045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</si>
  <si>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</si>
  <si>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2022NE000034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</si>
  <si>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</si>
  <si>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2022NE000027/88</t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</si>
  <si>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</si>
  <si>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</si>
  <si>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</si>
  <si>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</si>
  <si>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2021NE000142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</si>
  <si>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</si>
  <si>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2020NE000101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</si>
  <si>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</si>
  <si>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2021NE000145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</si>
  <si>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</si>
  <si>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2022NE000241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</si>
  <si>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</si>
  <si>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2022NE000242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</si>
  <si>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</si>
  <si>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2022NE000163</t>
  </si>
  <si>
    <t>3.33.90.39-79</t>
  </si>
  <si>
    <r>
      <rPr>
        <sz val="12"/>
        <color theme="1"/>
        <rFont val="Calibri"/>
      </rPr>
      <t xml:space="preserve">Apoio Técnico e Operacional - Operador de Caldeira - </t>
    </r>
    <r>
      <rPr>
        <b/>
        <sz val="12"/>
        <color theme="1"/>
        <rFont val="Calibri"/>
      </rPr>
      <t>SULPORT</t>
    </r>
  </si>
  <si>
    <t>Apoio Técnico e Operacional - Inspeção Caldeira</t>
  </si>
  <si>
    <t>2021NE000119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</si>
  <si>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</si>
  <si>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2022NE000064</t>
  </si>
  <si>
    <t>Reeembolso/ressarcimento despesas servidores/CAE</t>
  </si>
  <si>
    <t>2020NE800378</t>
  </si>
  <si>
    <t>Material Permanente - CCK</t>
  </si>
  <si>
    <t xml:space="preserve">Material Permanente - </t>
  </si>
  <si>
    <t>FNDE</t>
  </si>
  <si>
    <t>Material para Alimentação Escolar</t>
  </si>
  <si>
    <t>Fornecedoras em Geral</t>
  </si>
  <si>
    <t>2020NE800267</t>
  </si>
  <si>
    <t>3.33.90.32-05</t>
  </si>
  <si>
    <t>Alimentação Escolar - JULIANO FRANCISCATTO</t>
  </si>
  <si>
    <t>2020NE800373</t>
  </si>
  <si>
    <t>2022NE000226</t>
  </si>
  <si>
    <t>2022NE000227</t>
  </si>
  <si>
    <t>2022NE000237</t>
  </si>
  <si>
    <t>2022NE000249</t>
  </si>
  <si>
    <t>2022NE000058</t>
  </si>
  <si>
    <t>2021NE000162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</si>
  <si>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</si>
  <si>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2022NE000072</t>
  </si>
  <si>
    <t>2021NE000163</t>
  </si>
  <si>
    <t>Alimentação Escolar - LINASSI/VALDERI</t>
  </si>
  <si>
    <t>2021NE000164</t>
  </si>
  <si>
    <t>Alimentação Escolar - LINASSI</t>
  </si>
  <si>
    <t>Agricultura Familiar</t>
  </si>
  <si>
    <t>2021NE000118</t>
  </si>
  <si>
    <t>Alimentação Escolar - Agricultura Familiar- CLIVIAN LICHTENECKER</t>
  </si>
  <si>
    <t>2021NE000114</t>
  </si>
  <si>
    <t>Alimentação Escolar - Agricultura Familiar- JULIANA LUTZ</t>
  </si>
  <si>
    <t>2021NE000112</t>
  </si>
  <si>
    <t>Alimentação Escolar - Agricultura Familiar- JOCENARA MARTINS</t>
  </si>
  <si>
    <t>2021NE000117</t>
  </si>
  <si>
    <t>Alimentação Escolar - Agricultura Familiar- HUMBERTO LUTZ</t>
  </si>
  <si>
    <t>2021NE000113</t>
  </si>
  <si>
    <t>Alimentação Escolar - Agricultura Familiar- JOÃO VALTAIR GUASSO</t>
  </si>
  <si>
    <t>2021NE000116</t>
  </si>
  <si>
    <t>Alimentação Escolar - Agricultura Familiar- ANCELMO CONCEIÇÃO</t>
  </si>
  <si>
    <t>2021NE000107</t>
  </si>
  <si>
    <t>2021NE000115</t>
  </si>
  <si>
    <t>Alimentação Escolar - Agricultura Familiar- CARLOS VIELMO</t>
  </si>
  <si>
    <t>2021NE000108</t>
  </si>
  <si>
    <t>Alimentação Escolar - Agricultura Familiar- GILNEI SEVERO</t>
  </si>
  <si>
    <t>2021NE000109</t>
  </si>
  <si>
    <t>Alimentação Escolar - Agricultura Familiar- DIOVANE GUASSO</t>
  </si>
  <si>
    <t>2021NE000110</t>
  </si>
  <si>
    <t>Alimentação Escolar - Agricultura Familiar- IVAN GUASSO</t>
  </si>
  <si>
    <t>2021NE000111</t>
  </si>
  <si>
    <t>Alimentação Escolar - Agricultura Familiar- EDILAINE MARTINS</t>
  </si>
  <si>
    <t xml:space="preserve">Alimentação Escolar - Agricultura Familiar- </t>
  </si>
  <si>
    <t xml:space="preserve">AÇÕES INCLUSIVAS </t>
  </si>
  <si>
    <t>NAPNE</t>
  </si>
  <si>
    <t>Contribuições Previdenciárias-Serviços PF</t>
  </si>
  <si>
    <t>NEABI</t>
  </si>
  <si>
    <t>NUGEDIS</t>
  </si>
  <si>
    <t>2022NE000228</t>
  </si>
  <si>
    <t>2022NE000229</t>
  </si>
  <si>
    <t>BIBLIOTECA</t>
  </si>
  <si>
    <t>3.33.90.39-99</t>
  </si>
  <si>
    <t>Biblioteca Virtual (serviço )</t>
  </si>
  <si>
    <t>3.44.90.52-18</t>
  </si>
  <si>
    <t>Material Permanente - Livros</t>
  </si>
  <si>
    <t>COORDENAÇÕES EIXOS/CURSOS</t>
  </si>
  <si>
    <t>3.44.90.52-08</t>
  </si>
  <si>
    <t>Material Permanente - Equip Laboratórios (Extraorçamentário)</t>
  </si>
  <si>
    <t>Material Permanente - Mobiliário (Extraorçamentário)</t>
  </si>
  <si>
    <t>Material Permanente - Livros (Extraorçamentário)</t>
  </si>
  <si>
    <t>3.44.90.52-12</t>
  </si>
  <si>
    <t>Material Permanente - Ar Condicionados (Extraorçamentário)</t>
  </si>
  <si>
    <t>2022NE000223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</si>
  <si>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(Fonte 81500)</t>
    </r>
  </si>
  <si>
    <t>2022NE000169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</si>
  <si>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 (Fonte 81500)</t>
    </r>
  </si>
  <si>
    <t>2022NE000254</t>
  </si>
  <si>
    <r>
      <rPr>
        <sz val="12"/>
        <color theme="1"/>
        <rFont val="Calibri"/>
      </rPr>
      <t xml:space="preserve">Material Permanente - Ar Condicionados - VENTISOL </t>
    </r>
    <r>
      <rPr>
        <b/>
        <sz val="12"/>
        <color theme="1"/>
        <rFont val="Calibri"/>
      </rPr>
      <t>(Fonte 81500)</t>
    </r>
  </si>
  <si>
    <t>DPEP - DIRETORIA DE PESQUISA, EXTENSÃO E PRODUÇÃO</t>
  </si>
  <si>
    <t xml:space="preserve">PESQUISA </t>
  </si>
  <si>
    <t>PROJETOS DE PESQUISA</t>
  </si>
  <si>
    <t>2022NE000040</t>
  </si>
  <si>
    <t>Diárias a servidores -</t>
  </si>
  <si>
    <t>2022NE000001</t>
  </si>
  <si>
    <t>Auxílios BOLSAS para Estudos e Pesquisas</t>
  </si>
  <si>
    <t>2022NE000198</t>
  </si>
  <si>
    <t>Auxílios BOLSAS para Estudos e Pesquisas (Edital 308/2022)</t>
  </si>
  <si>
    <t>3.33.90.48-01</t>
  </si>
  <si>
    <t>Auxílio a Pessoas Físicas - PUBLICAÇÕES</t>
  </si>
  <si>
    <t>OUTRAS DESPESAS COM PESQUISA</t>
  </si>
  <si>
    <t>2022NE000041</t>
  </si>
  <si>
    <t>Diárias a servidores - Demandas Regionais</t>
  </si>
  <si>
    <t>Diárias a servidores - MEPT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</si>
  <si>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</si>
  <si>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</si>
  <si>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</si>
  <si>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</si>
  <si>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</si>
  <si>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Material de Consumo - Laboratorial</t>
  </si>
  <si>
    <t>EXTENSÃO</t>
  </si>
  <si>
    <t>PROJETOS DE EXTENSÃO- PI - LEN09P20FAI</t>
  </si>
  <si>
    <t>2022NE000042</t>
  </si>
  <si>
    <t>Diárias a servidores - Eventos Regionais</t>
  </si>
  <si>
    <t>2022NE000123</t>
  </si>
  <si>
    <t>BOLSA DE EXTENSÃO ESTUDANTES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</si>
  <si>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</si>
  <si>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</si>
  <si>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</si>
  <si>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</si>
  <si>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2022NE000121</t>
  </si>
  <si>
    <t>Auxílio a Pessoa Física - Demandas Regionais- ALEX CATADOR</t>
  </si>
  <si>
    <t>2022NE000162</t>
  </si>
  <si>
    <t>2020NE800310</t>
  </si>
  <si>
    <t>Serviços Gráficos e Editoriais - POLIMPRESSOS SERVIÇOS</t>
  </si>
  <si>
    <t>2022NE000164</t>
  </si>
  <si>
    <t>Serviços Gráficos e Editoriais - RB COMUNICAÇÃO</t>
  </si>
  <si>
    <t>OUTRAS DESPESAS COM EXTENSÃO</t>
  </si>
  <si>
    <t>Diárias a servidores - Jogos, Festivais e Mostras</t>
  </si>
  <si>
    <t>Diárias a servidores - Feiras</t>
  </si>
  <si>
    <t>Locação de Transporte - Jogos, Festivais e Mostras</t>
  </si>
  <si>
    <t>Diárias a Colaboradores Eventuais - Jogos, Festivais e Mostras</t>
  </si>
  <si>
    <t>Diárias a Colaboradores Eventuais - Feiras</t>
  </si>
  <si>
    <t>2022NE000165</t>
  </si>
  <si>
    <t>Material esportivo - 100 SPORTS</t>
  </si>
  <si>
    <t>3.33.90.30-18</t>
  </si>
  <si>
    <t>Materias e Medicamentos Veterinários - "Bem Estar Animal"</t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</si>
  <si>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</si>
  <si>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</si>
  <si>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</si>
  <si>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2022NE000166</t>
  </si>
  <si>
    <t>Serviços Técnicos Profissionais - PJ - SHOW ARISON E EMERSON</t>
  </si>
  <si>
    <t>2022NE000174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</si>
  <si>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</si>
  <si>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Manutenção e Conservação de Veículos - "Bem Estar Animal"</t>
  </si>
  <si>
    <t>Festividades e Homenagens</t>
  </si>
  <si>
    <t>Serviços de Áudio, Vídeo e Foto</t>
  </si>
  <si>
    <t>PRODUÇÃO</t>
  </si>
  <si>
    <t>2022NE000092</t>
  </si>
  <si>
    <t>2022NE000084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</si>
  <si>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NITROVALE</t>
    </r>
  </si>
  <si>
    <t>2022NE000185</t>
  </si>
  <si>
    <t>Material de Consumo - Gás - EICHELT &amp; EICHELT</t>
  </si>
  <si>
    <t>2022NE000085</t>
  </si>
  <si>
    <t>3.33.90.30-06</t>
  </si>
  <si>
    <t>Mat Consumo - Alimentação Animal- GRUPO FG</t>
  </si>
  <si>
    <t>2022NE000016</t>
  </si>
  <si>
    <t>2021NE000039</t>
  </si>
  <si>
    <t>Material de Consumo - Alimentação Animal -FRANCINE*/JOSE EURICO</t>
  </si>
  <si>
    <t>2022NE000017</t>
  </si>
  <si>
    <t>2021NE000159</t>
  </si>
  <si>
    <t>Material de Consumo - Alimentação Animal GRUPO FG</t>
  </si>
  <si>
    <t>2022NE000023</t>
  </si>
  <si>
    <t>2022NE000020</t>
  </si>
  <si>
    <t>2021NE000183</t>
  </si>
  <si>
    <t>Material de Consumo - Alimentação Animal -VETSUL/AGRIVET</t>
  </si>
  <si>
    <t>2022NE000077</t>
  </si>
  <si>
    <t>2021NE000184</t>
  </si>
  <si>
    <t>Material de Consumo - Alimentação Animal -JOSÉ EURICO</t>
  </si>
  <si>
    <t>2022NE000170</t>
  </si>
  <si>
    <t>2022NE000171</t>
  </si>
  <si>
    <t>Material de Consumo - Alimentação Animal -AGRIVET</t>
  </si>
  <si>
    <t>2022NE000078</t>
  </si>
  <si>
    <t>Material de Consumo - Alimentação Animal -ANDRASCHKO</t>
  </si>
  <si>
    <t>2022NE000035</t>
  </si>
  <si>
    <t>2021NE000185</t>
  </si>
  <si>
    <t>Material Consumo - Alimentação Animal AGROFORTE/JOSE EURICO</t>
  </si>
  <si>
    <t>2022NE000090</t>
  </si>
  <si>
    <t>Mat Consumo - Alimentação Animal- JOSE EURICO</t>
  </si>
  <si>
    <t>2022NE000124</t>
  </si>
  <si>
    <t>2022NE000129</t>
  </si>
  <si>
    <t>2022NE000125</t>
  </si>
  <si>
    <t>Material de Consumo - GRUPO FG</t>
  </si>
  <si>
    <t>2022NE000195</t>
  </si>
  <si>
    <t>2022NE000196</t>
  </si>
  <si>
    <t>2022NE000199</t>
  </si>
  <si>
    <t>Mat Consumo - Alimentação Animal- ANDRASCHICO &amp; ANDRASCHICO</t>
  </si>
  <si>
    <t>2022NE000200</t>
  </si>
  <si>
    <t>2022NE000028</t>
  </si>
  <si>
    <t>2022NE000091</t>
  </si>
  <si>
    <t>2022NE000094</t>
  </si>
  <si>
    <t>2022NE000144</t>
  </si>
  <si>
    <t>3.33.90.30-08</t>
  </si>
  <si>
    <t>Material de Consumo - Animais para Pesquisa e Abate</t>
  </si>
  <si>
    <t>2021NE000157</t>
  </si>
  <si>
    <t>Material de Consumo - Animais para Pesquisa e Abate- MAGNO K</t>
  </si>
  <si>
    <t>2022NE000152</t>
  </si>
  <si>
    <t>Material de Consumo - Animais para Pesquisa e Abate - AGROFORTE</t>
  </si>
  <si>
    <t>2022NE000207</t>
  </si>
  <si>
    <t>2022NE000261</t>
  </si>
  <si>
    <t>2020NE800155</t>
  </si>
  <si>
    <t>Material de Consumo - Químicos - FRANCINE GUIDO</t>
  </si>
  <si>
    <t>2021NE000103</t>
  </si>
  <si>
    <t>Material de Consumo - Químicos - CALIBRY</t>
  </si>
  <si>
    <t>2022NE000033</t>
  </si>
  <si>
    <t>3.33.90.30-12</t>
  </si>
  <si>
    <t>Material de Consumo - Coudelaria e Zootécnico-MAGNO</t>
  </si>
  <si>
    <t>Material de Consumo - Mat e Medic Veterinários</t>
  </si>
  <si>
    <t>2020NE800381</t>
  </si>
  <si>
    <t>Material de Consumo - Mat e Medic Veterinários-RENATO PINTO</t>
  </si>
  <si>
    <t>2022NE000175</t>
  </si>
  <si>
    <t>Material de Consumo - Embalagem - AGROFORTE</t>
  </si>
  <si>
    <t>2021NE000196</t>
  </si>
  <si>
    <t>Material de Consumo - Embalagem - DOCAMPOAGRICOLA LTDA</t>
  </si>
  <si>
    <t>2022NE000201</t>
  </si>
  <si>
    <t>Material de Consumo - Embalagem - BV EQUIP DE PROTEÇÃO</t>
  </si>
  <si>
    <t>2022NE000202</t>
  </si>
  <si>
    <t>Material de Consumo - Embalagem - PABLO LUIS MARTINS</t>
  </si>
  <si>
    <t>2021NE000151</t>
  </si>
  <si>
    <t>Material de Consumo - Limpeza e Higienização - LEANDRO COIMBRA</t>
  </si>
  <si>
    <t>Material de Consumo - Manut de Bens Imóveis/Instalações</t>
  </si>
  <si>
    <t>Material de Consumo - Proteção e Segurança</t>
  </si>
  <si>
    <t>2022NE000029</t>
  </si>
  <si>
    <t>3.33.90.30-31</t>
  </si>
  <si>
    <t>Material de Consumo - Sementes, Mudas e Insumos-AGROFORTE</t>
  </si>
  <si>
    <t>2022NE000030</t>
  </si>
  <si>
    <t>Mat Consumo - Sementes, Mudas e Insumos - FRANCINE/HELO</t>
  </si>
  <si>
    <t>2022NE000031</t>
  </si>
  <si>
    <t>Mat Consumo - Sementes, Mudas e Insumos - OSMAR JOAO</t>
  </si>
  <si>
    <t>2022NE000032</t>
  </si>
  <si>
    <t>Mat Consumo - Sementes, Mudas e Insumos - PLANTAR AGRICOLA</t>
  </si>
  <si>
    <t>2022NE000102</t>
  </si>
  <si>
    <t>Mat Consumo - Sementes, Mudas e Insumos - AGROFORTE</t>
  </si>
  <si>
    <t>2022NE000155</t>
  </si>
  <si>
    <t>2022NE000156</t>
  </si>
  <si>
    <t>Mat Consumo - Sementes, Mudas e Insumos - TERRAMAQ</t>
  </si>
  <si>
    <t>2022NE000157</t>
  </si>
  <si>
    <t>2022NE000204</t>
  </si>
  <si>
    <t>2022NE000206</t>
  </si>
  <si>
    <t>Mat Consumo - Sementes, Mudas e Insumos - LAVORO COM</t>
  </si>
  <si>
    <t>2022NE000209</t>
  </si>
  <si>
    <t>2021NE000100</t>
  </si>
  <si>
    <t>Material consumo - LAB VISION</t>
  </si>
  <si>
    <t>Material consumo - CALIBRY</t>
  </si>
  <si>
    <t>2021NE000105</t>
  </si>
  <si>
    <t>Material consumo - BASPRIX</t>
  </si>
  <si>
    <t>Material de Consumo - Conservação de Véiculos</t>
  </si>
  <si>
    <t>2021NE000104</t>
  </si>
  <si>
    <t>2022NE000192</t>
  </si>
  <si>
    <t>Material Consumo - Ferramentas - AGROFORTE</t>
  </si>
  <si>
    <t>2022NE000071/82</t>
  </si>
  <si>
    <t>2021NE000013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</si>
  <si>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</si>
  <si>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2022NE000158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</si>
  <si>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 (H.EXTRAS)</t>
    </r>
  </si>
  <si>
    <t>2022NE117/260</t>
  </si>
  <si>
    <r>
      <rPr>
        <sz val="12"/>
        <color rgb="FF000000"/>
        <rFont val="Calibri"/>
      </rPr>
      <t xml:space="preserve">Apoio Administrativo - Serviços Agropecuários- </t>
    </r>
    <r>
      <rPr>
        <b/>
        <sz val="12"/>
        <color rgb="FF000000"/>
        <rFont val="Calibri"/>
      </rPr>
      <t>SERVITECK</t>
    </r>
  </si>
  <si>
    <t>2022NE000154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</si>
  <si>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</si>
  <si>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</si>
  <si>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</si>
  <si>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2022NE000022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</si>
  <si>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</si>
  <si>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</si>
  <si>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</si>
  <si>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</si>
  <si>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2022NE000258</t>
  </si>
  <si>
    <t>2021NE000186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</si>
  <si>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SERRALHERIA MATENSE</t>
    </r>
  </si>
  <si>
    <t>2022NE000019</t>
  </si>
  <si>
    <t>2021NE000024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</si>
  <si>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</si>
  <si>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2022NE000024</t>
  </si>
  <si>
    <t>Reeembolso/ressarcimento despesas servidores - DPEP</t>
  </si>
  <si>
    <t>2021NE000143</t>
  </si>
  <si>
    <t>Equipamentos- ALTA COMÉRCIO</t>
  </si>
  <si>
    <t>2022NE000109</t>
  </si>
  <si>
    <t>3.44.90.52-46</t>
  </si>
  <si>
    <t>Semoventes e equipamentos de montaria - MAGNO</t>
  </si>
  <si>
    <t>2021NE000197</t>
  </si>
  <si>
    <t>3.44.90.52-40</t>
  </si>
  <si>
    <t>Equipamentos- DOCAMPOAGRICOLA IND DE MAQ AGRIC LTDA</t>
  </si>
  <si>
    <t>Material de Consumo - Manut de Imóveis (Central de Resíduo)</t>
  </si>
  <si>
    <t>3.33.90.30-48</t>
  </si>
  <si>
    <t>Material de Consumo - B Móveis ñ Ativáveis (Central de Resíduos)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</si>
  <si>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</si>
  <si>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Obras e Intalações</t>
  </si>
  <si>
    <t>Obras em Andamento - Galpões Tampo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</si>
  <si>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</si>
  <si>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</si>
  <si>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</si>
  <si>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</si>
  <si>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</si>
  <si>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</si>
  <si>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</si>
  <si>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</si>
  <si>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</si>
  <si>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</si>
  <si>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</si>
  <si>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</si>
  <si>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</si>
  <si>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</si>
  <si>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</si>
  <si>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</si>
  <si>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</si>
  <si>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</si>
  <si>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</si>
  <si>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</si>
  <si>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</si>
  <si>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</si>
  <si>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</si>
  <si>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</si>
  <si>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</si>
  <si>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</si>
  <si>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</si>
  <si>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</si>
  <si>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</si>
  <si>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2022NE000250</t>
  </si>
  <si>
    <t>3.44.90.52-02</t>
  </si>
  <si>
    <r>
      <rPr>
        <sz val="12"/>
        <color theme="1"/>
        <rFont val="Calibri"/>
      </rPr>
      <t xml:space="preserve">Equipamentos- STOBTECH - Drone </t>
    </r>
    <r>
      <rPr>
        <b/>
        <sz val="12"/>
        <color theme="1"/>
        <rFont val="Calibri"/>
      </rPr>
      <t>(Fonte 81880)</t>
    </r>
  </si>
  <si>
    <t>2022NE000255</t>
  </si>
  <si>
    <t>3.44.90.52-28</t>
  </si>
  <si>
    <r>
      <rPr>
        <sz val="12"/>
        <color theme="1"/>
        <rFont val="Calibri"/>
      </rPr>
      <t xml:space="preserve">Equipamentos- IZ DA SILVA - Pasteurizador </t>
    </r>
    <r>
      <rPr>
        <b/>
        <sz val="12"/>
        <color theme="1"/>
        <rFont val="Calibri"/>
      </rPr>
      <t>(Fonte 81880)</t>
    </r>
  </si>
  <si>
    <t>2022NE000233</t>
  </si>
  <si>
    <r>
      <rPr>
        <sz val="12"/>
        <color theme="1"/>
        <rFont val="Calibri"/>
      </rPr>
      <t xml:space="preserve">Equipamentos- </t>
    </r>
    <r>
      <rPr>
        <b/>
        <sz val="12"/>
        <color theme="1"/>
        <rFont val="Calibri"/>
      </rPr>
      <t>DAIANA VOGEL ZIMMERMANN (FONTE 81880)</t>
    </r>
  </si>
  <si>
    <t>2022NE000259</t>
  </si>
  <si>
    <r>
      <rPr>
        <sz val="12"/>
        <color theme="1"/>
        <rFont val="Calibri"/>
      </rPr>
      <t xml:space="preserve">Mat Consumo - Alimentação Animal- AGRIVET </t>
    </r>
    <r>
      <rPr>
        <b/>
        <sz val="12"/>
        <color theme="1"/>
        <rFont val="Calibri"/>
      </rPr>
      <t>(Fonte 81500)</t>
    </r>
  </si>
  <si>
    <t>2022NE000219</t>
  </si>
  <si>
    <t>Mat Consumo - Alimentação Animal-MAGNO KREBS</t>
  </si>
  <si>
    <t>2022NE000213</t>
  </si>
  <si>
    <t>Material de Consumo - Químicos - OSMAR JOÃO</t>
  </si>
  <si>
    <t>2022NE000214</t>
  </si>
  <si>
    <t>Material de Consumo - Químicos - SANIGRAN</t>
  </si>
  <si>
    <t>2022NE000210</t>
  </si>
  <si>
    <t>2022NE000215</t>
  </si>
  <si>
    <t>Mat Consumo - Sementes, Mudas e Insumos - AGRIVET</t>
  </si>
  <si>
    <t>2022NE000217</t>
  </si>
  <si>
    <t>2022NE000218</t>
  </si>
  <si>
    <t>Mat Consumo - Sementes, Mudas e Insumos - JOSÉ EURICO</t>
  </si>
  <si>
    <t>2022NE000234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</si>
  <si>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AGROFORTE (FONTE 81500)</t>
    </r>
  </si>
  <si>
    <t>2022NE000235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</si>
  <si>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AGRIVET (FONTE 81500)</t>
    </r>
  </si>
  <si>
    <t>2022NE000212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</si>
  <si>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 (Fonte 81500)</t>
    </r>
  </si>
  <si>
    <t>Equipamento e Material Permanente</t>
  </si>
  <si>
    <t>2022NE000190</t>
  </si>
  <si>
    <t>Semoventes e equipamentos de montaria - Carneiro - MAGNO</t>
  </si>
  <si>
    <t>DESPESAS REALIZADAS PELA REITORIA</t>
  </si>
  <si>
    <t>3.33.90.20-00</t>
  </si>
  <si>
    <t>Auxílio Financeiro à Pesquisadores - Cartão BB Pesquisa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</si>
  <si>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</si>
  <si>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</si>
  <si>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</si>
  <si>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</si>
  <si>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</si>
  <si>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</si>
  <si>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</si>
  <si>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</si>
  <si>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</si>
  <si>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</si>
  <si>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</si>
  <si>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</si>
  <si>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</si>
  <si>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</si>
  <si>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</si>
  <si>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</si>
  <si>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</si>
  <si>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</si>
  <si>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</si>
  <si>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</si>
  <si>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</si>
  <si>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</si>
  <si>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</si>
  <si>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</si>
  <si>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RESUMO DA RECEITA POR FONTE</t>
  </si>
  <si>
    <t>DESPESA POR FONTE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</si>
  <si>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</si>
  <si>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</si>
  <si>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</si>
  <si>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</si>
  <si>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SALDO LIBERADO A EMPENHAR</t>
  </si>
  <si>
    <t>ORÇAMENTO MATRIZ</t>
  </si>
  <si>
    <t>FINALIDADE</t>
  </si>
  <si>
    <t>R$</t>
  </si>
  <si>
    <t>IDENTIFICAÇÃO DAS NCs</t>
  </si>
  <si>
    <t>UNIDADES</t>
  </si>
  <si>
    <t>NC</t>
  </si>
  <si>
    <t>SALDO EMPENHADO A EXECUTAR</t>
  </si>
  <si>
    <t>REDITEC</t>
  </si>
  <si>
    <t>2022NC000013</t>
  </si>
  <si>
    <t>JAGUARI</t>
  </si>
  <si>
    <t>MAT ESPORTIVO</t>
  </si>
  <si>
    <t>2022NC000001</t>
  </si>
  <si>
    <t>RESSARCIR/DPEP</t>
  </si>
  <si>
    <t>2022NC000006</t>
  </si>
  <si>
    <t>SALDO EXECUTADO A PAGAR</t>
  </si>
  <si>
    <t>PIIQP</t>
  </si>
  <si>
    <t>PANAMBI</t>
  </si>
  <si>
    <t>2022NC000002</t>
  </si>
  <si>
    <t>SALDO DE RESTOS A PAGAR</t>
  </si>
  <si>
    <t>RECEITAS PRÓPRIAS</t>
  </si>
  <si>
    <t>CARTÃO BB PESQUISA</t>
  </si>
  <si>
    <t>SANTA ROSA</t>
  </si>
  <si>
    <t>JOGOS EMPRESA</t>
  </si>
  <si>
    <t>2022NC000003</t>
  </si>
  <si>
    <t>RESTOS A PAGAR PAGOS</t>
  </si>
  <si>
    <t>OUTRAS FONTES</t>
  </si>
  <si>
    <t>MANUTENÇÃO DA FROTA</t>
  </si>
  <si>
    <t>2022NC000014</t>
  </si>
  <si>
    <t>RESTOS A PAGAR ANULADOS</t>
  </si>
  <si>
    <t>TOTAL DA RECEITA</t>
  </si>
  <si>
    <t>ESTAGIÁRIOS</t>
  </si>
  <si>
    <t>FUNDO DE TI</t>
  </si>
  <si>
    <t>DESPESAS EXECUTADAS PELA REITORIA SEM ENVIO DE ORÇAMENTO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</si>
  <si>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</si>
  <si>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</si>
  <si>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</si>
  <si>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</si>
  <si>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</si>
  <si>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</si>
  <si>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</si>
  <si>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</si>
  <si>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</si>
  <si>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</si>
  <si>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</si>
  <si>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</si>
  <si>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</si>
  <si>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</si>
  <si>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</si>
  <si>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</si>
  <si>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</si>
  <si>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</si>
  <si>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</si>
  <si>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</si>
  <si>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</si>
  <si>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</si>
  <si>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</si>
  <si>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</si>
  <si>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</si>
  <si>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RECEITAS X DESPESAS por FONTE</t>
  </si>
  <si>
    <t>RECEITAS</t>
  </si>
  <si>
    <t>DESPESAS</t>
  </si>
  <si>
    <t>COMPOSIÇÃO SINTÉTICA DOS RESTOS A PAGAR</t>
  </si>
  <si>
    <t>EXECUÇÃO DA DESPESA - EMPENHADAS E PAGAS</t>
  </si>
  <si>
    <t xml:space="preserve">RAPs </t>
  </si>
  <si>
    <t>EMPENHADAS</t>
  </si>
  <si>
    <t>PAGAS</t>
  </si>
  <si>
    <t>RAPs do ANO</t>
  </si>
  <si>
    <t>RESTOS A PAGAR - EXERCÍCIOS ANTERIORES</t>
  </si>
  <si>
    <t xml:space="preserve">RESTOS A PAGAR DO EXERCÍCIO - LIQUIDADOS A PAGAR </t>
  </si>
  <si>
    <t>RESTOS A PAGAR DO EXERCÍCIO - NÃO LIQUIDADOS</t>
  </si>
  <si>
    <t>TOTAIS</t>
  </si>
  <si>
    <t>EXECUÇÃO DA DESPESA - EMPENHO DO ANO + RAP</t>
  </si>
  <si>
    <t>RAPs PAGOS</t>
  </si>
  <si>
    <t>NEs PAGOS</t>
  </si>
  <si>
    <t>COMPOSIÇÃO ANALÍTICA DOS RESTOS A PAGAR</t>
  </si>
  <si>
    <t>DESPESAS PREDOMINANTES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</si>
</sst>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R$&quot;\ * #,##0.00_-;\-&quot;R$&quot;\ * #,##0.00_-;_-&quot;R$&quot;\ * &quot;-&quot;??_-;_-@_-"/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[$R$ -416]#,##0.00"/>
    <numFmt numFmtId="169" formatCode="[$R$]#,##0.00"/>
  </numFmts>
  <fonts count="44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b/>
      <sz val="14"/>
      <color theme="1"/>
      <name val="Calibri"/>
    </font>
    <font>
      <b/>
      <sz val="14"/>
      <color rgb="FF000000"/>
      <name val="Calibri"/>
    </font>
    <font>
      <b/>
      <sz val="12"/>
      <color rgb="FF000000"/>
      <name val="Calibri"/>
    </font>
    <font>
      <b/>
      <sz val="14"/>
      <color rgb="FFFF0000"/>
      <name val="Calibri"/>
    </font>
    <font>
      <b/>
      <sz val="11"/>
      <color rgb="FF000000"/>
      <name val="Calibri"/>
    </font>
    <font>
      <b/>
      <sz val="11"/>
      <color theme="0"/>
      <name val="Calibri"/>
    </font>
    <font>
      <b/>
      <sz val="12"/>
      <color theme="0"/>
      <name val="Calibri"/>
    </font>
    <font>
      <b/>
      <sz val="16"/>
      <color theme="0"/>
      <name val="Calibri"/>
    </font>
    <font>
      <sz val="11"/>
      <color rgb="FF000000"/>
      <name val="Calibri"/>
    </font>
    <font>
      <sz val="12"/>
      <color rgb="FF000000"/>
      <name val="Calibri"/>
    </font>
    <font>
      <sz val="12"/>
      <color theme="1"/>
      <name val="Calibri"/>
    </font>
    <font>
      <sz val="12"/>
      <color rgb="FFFF0000"/>
      <name val="Calibri"/>
    </font>
    <font>
      <sz val="12"/>
      <color rgb="FF0000FF"/>
      <name val="Calibri"/>
    </font>
    <font>
      <sz val="11"/>
      <color theme="1"/>
      <name val="Calibri"/>
      <scheme val="minor"/>
    </font>
    <font>
      <i/>
      <sz val="12"/>
      <color theme="1"/>
      <name val="Calibri"/>
    </font>
    <font>
      <sz val="11"/>
      <color rgb="FF000000"/>
      <name val="Roboto"/>
    </font>
    <font>
      <b/>
      <sz val="11"/>
      <color rgb="FFAD5281"/>
      <name val="Calibri"/>
    </font>
    <font>
      <b/>
      <sz val="12"/>
      <color rgb="FFFF0000"/>
      <name val="Calibri"/>
    </font>
    <font>
      <sz val="9"/>
      <color rgb="FF000000"/>
      <name val="Calibri"/>
    </font>
    <font>
      <sz val="12"/>
      <color theme="1"/>
      <name val="Calibri"/>
      <scheme val="minor"/>
    </font>
    <font>
      <sz val="12"/>
      <color rgb="FF000000"/>
      <name val="Calibri"/>
      <scheme val="minor"/>
    </font>
    <font>
      <b/>
      <i/>
      <sz val="12"/>
      <color rgb="FF000000"/>
      <name val="Calibri"/>
    </font>
    <font>
      <b/>
      <sz val="11"/>
      <color rgb="FFA64D79"/>
      <name val="Calibri"/>
    </font>
    <font>
      <b/>
      <sz val="11"/>
      <color rgb="FF953734"/>
      <name val="Calibri"/>
    </font>
    <font>
      <sz val="11"/>
      <color rgb="FF000000"/>
      <name val="Calibri"/>
      <scheme val="minor"/>
    </font>
    <font>
      <sz val="12"/>
      <color rgb="FFCC0000"/>
      <name val="Calibri"/>
    </font>
    <font>
      <b/>
      <sz val="11"/>
      <color theme="1"/>
      <name val="Calibri"/>
      <scheme val="minor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theme="0"/>
      <name val="Calibri"/>
      <scheme val="minor"/>
    </font>
    <font>
      <b/>
      <sz val="11"/>
      <color rgb="FFFF0000"/>
      <name val="Calibri"/>
    </font>
    <font>
      <sz val="11"/>
      <color rgb="FFFF0000"/>
      <name val="Calibri"/>
    </font>
    <font>
      <b/>
      <sz val="10"/>
      <color rgb="FF000000"/>
      <name val="Calibri"/>
    </font>
    <font>
      <b/>
      <sz val="10"/>
      <color rgb="FFFF0000"/>
      <name val="Calibri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</fonts>
  <fills count="30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6AA84F"/>
        <bgColor rgb="FF6AA84F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</fills>
  <borders count="4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44" fontId="30" fillId="0" borderId="0" applyFont="0" applyFill="0" applyBorder="0" applyAlignment="0" applyProtection="0"/>
  </cellStyleXfs>
  <cellXfs count="622">
    <xf numFmtId="0" fontId="0" fillId="0" borderId="0" xfId="0" applyFont="1" applyAlignment="1"/>
    <xf numFmtId="0" fontId="3" fillId="0" borderId="0" xfId="0" applyFont="1"/>
    <xf numFmtId="0" fontId="3" fillId="2" borderId="4" xfId="0" applyFont="1" applyFill="1" applyBorder="1"/>
    <xf numFmtId="0" fontId="4" fillId="4" borderId="4" xfId="0" applyFont="1" applyFill="1" applyBorder="1"/>
    <xf numFmtId="0" fontId="3" fillId="4" borderId="4" xfId="0" applyFont="1" applyFill="1" applyBorder="1"/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/>
    <xf numFmtId="0" fontId="3" fillId="0" borderId="0" xfId="0" applyFont="1" applyAlignment="1">
      <alignment horizontal="left"/>
    </xf>
    <xf numFmtId="0" fontId="3" fillId="6" borderId="4" xfId="0" applyFont="1" applyFill="1" applyBorder="1"/>
    <xf numFmtId="0" fontId="5" fillId="5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0" borderId="10" xfId="0" applyFont="1" applyBorder="1"/>
    <xf numFmtId="0" fontId="3" fillId="0" borderId="11" xfId="0" applyFont="1" applyBorder="1"/>
    <xf numFmtId="0" fontId="3" fillId="5" borderId="1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6" fillId="8" borderId="15" xfId="0" applyFont="1" applyFill="1" applyBorder="1" applyAlignment="1">
      <alignment horizontal="left" vertical="center"/>
    </xf>
    <xf numFmtId="0" fontId="6" fillId="8" borderId="16" xfId="0" applyFont="1" applyFill="1" applyBorder="1" applyAlignment="1">
      <alignment horizontal="left" vertical="center"/>
    </xf>
    <xf numFmtId="0" fontId="7" fillId="8" borderId="16" xfId="0" applyFont="1" applyFill="1" applyBorder="1" applyAlignment="1">
      <alignment horizontal="left" vertical="center"/>
    </xf>
    <xf numFmtId="0" fontId="6" fillId="8" borderId="17" xfId="0" applyFont="1" applyFill="1" applyBorder="1" applyAlignment="1">
      <alignment horizontal="left" vertical="center"/>
    </xf>
    <xf numFmtId="0" fontId="9" fillId="8" borderId="17" xfId="0" applyFont="1" applyFill="1" applyBorder="1" applyAlignment="1">
      <alignment horizontal="left" vertical="center" wrapText="1"/>
    </xf>
    <xf numFmtId="0" fontId="6" fillId="8" borderId="25" xfId="0" applyFont="1" applyFill="1" applyBorder="1" applyAlignment="1">
      <alignment horizontal="center" vertical="center" wrapText="1"/>
    </xf>
    <xf numFmtId="164" fontId="8" fillId="9" borderId="25" xfId="0" applyNumberFormat="1" applyFont="1" applyFill="1" applyBorder="1" applyAlignment="1">
      <alignment horizontal="center" vertical="center" wrapText="1"/>
    </xf>
    <xf numFmtId="164" fontId="1" fillId="9" borderId="25" xfId="0" applyNumberFormat="1" applyFont="1" applyFill="1" applyBorder="1" applyAlignment="1">
      <alignment horizontal="center" vertical="center" wrapText="1"/>
    </xf>
    <xf numFmtId="164" fontId="8" fillId="9" borderId="25" xfId="0" applyNumberFormat="1" applyFont="1" applyFill="1" applyBorder="1" applyAlignment="1">
      <alignment horizontal="center" vertical="center" wrapText="1"/>
    </xf>
    <xf numFmtId="165" fontId="1" fillId="9" borderId="25" xfId="0" applyNumberFormat="1" applyFont="1" applyFill="1" applyBorder="1" applyAlignment="1">
      <alignment horizontal="right" vertical="center" wrapText="1"/>
    </xf>
    <xf numFmtId="164" fontId="8" fillId="10" borderId="26" xfId="0" applyNumberFormat="1" applyFont="1" applyFill="1" applyBorder="1" applyAlignment="1">
      <alignment horizontal="center" vertical="center"/>
    </xf>
    <xf numFmtId="164" fontId="1" fillId="10" borderId="25" xfId="0" applyNumberFormat="1" applyFont="1" applyFill="1" applyBorder="1" applyAlignment="1">
      <alignment horizontal="center" vertical="center"/>
    </xf>
    <xf numFmtId="164" fontId="1" fillId="10" borderId="25" xfId="0" applyNumberFormat="1" applyFont="1" applyFill="1" applyBorder="1" applyAlignment="1">
      <alignment horizontal="center" vertical="center" wrapText="1"/>
    </xf>
    <xf numFmtId="164" fontId="8" fillId="10" borderId="25" xfId="0" applyNumberFormat="1" applyFont="1" applyFill="1" applyBorder="1" applyAlignment="1">
      <alignment horizontal="center" vertical="center" wrapText="1"/>
    </xf>
    <xf numFmtId="164" fontId="1" fillId="11" borderId="25" xfId="0" applyNumberFormat="1" applyFont="1" applyFill="1" applyBorder="1" applyAlignment="1">
      <alignment horizontal="center" vertical="center"/>
    </xf>
    <xf numFmtId="164" fontId="1" fillId="11" borderId="25" xfId="0" applyNumberFormat="1" applyFont="1" applyFill="1" applyBorder="1" applyAlignment="1">
      <alignment horizontal="center" vertical="center" wrapText="1"/>
    </xf>
    <xf numFmtId="164" fontId="8" fillId="11" borderId="25" xfId="0" applyNumberFormat="1" applyFont="1" applyFill="1" applyBorder="1" applyAlignment="1">
      <alignment horizontal="center" vertical="center" wrapText="1"/>
    </xf>
    <xf numFmtId="164" fontId="8" fillId="11" borderId="25" xfId="0" applyNumberFormat="1" applyFont="1" applyFill="1" applyBorder="1" applyAlignment="1">
      <alignment horizontal="center" vertical="center"/>
    </xf>
    <xf numFmtId="10" fontId="1" fillId="8" borderId="25" xfId="0" applyNumberFormat="1" applyFont="1" applyFill="1" applyBorder="1" applyAlignment="1">
      <alignment horizontal="right" vertical="center" wrapText="1"/>
    </xf>
    <xf numFmtId="10" fontId="1" fillId="8" borderId="25" xfId="0" applyNumberFormat="1" applyFont="1" applyFill="1" applyBorder="1" applyAlignment="1">
      <alignment horizontal="right" vertical="center"/>
    </xf>
    <xf numFmtId="0" fontId="10" fillId="8" borderId="24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/>
    </xf>
    <xf numFmtId="0" fontId="8" fillId="8" borderId="24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/>
    </xf>
    <xf numFmtId="164" fontId="1" fillId="8" borderId="25" xfId="0" applyNumberFormat="1" applyFont="1" applyFill="1" applyBorder="1" applyAlignment="1">
      <alignment horizontal="right" vertical="center"/>
    </xf>
    <xf numFmtId="164" fontId="8" fillId="8" borderId="25" xfId="0" applyNumberFormat="1" applyFont="1" applyFill="1" applyBorder="1" applyAlignment="1">
      <alignment horizontal="right" vertical="center"/>
    </xf>
    <xf numFmtId="10" fontId="1" fillId="9" borderId="25" xfId="0" applyNumberFormat="1" applyFont="1" applyFill="1" applyBorder="1" applyAlignment="1">
      <alignment horizontal="right" vertical="center"/>
    </xf>
    <xf numFmtId="0" fontId="11" fillId="12" borderId="15" xfId="0" applyFont="1" applyFill="1" applyBorder="1" applyAlignment="1">
      <alignment horizontal="center" vertical="center" wrapText="1"/>
    </xf>
    <xf numFmtId="0" fontId="12" fillId="12" borderId="16" xfId="0" applyFont="1" applyFill="1" applyBorder="1" applyAlignment="1">
      <alignment vertical="center"/>
    </xf>
    <xf numFmtId="0" fontId="13" fillId="12" borderId="16" xfId="0" applyFont="1" applyFill="1" applyBorder="1" applyAlignment="1">
      <alignment vertical="center"/>
    </xf>
    <xf numFmtId="0" fontId="13" fillId="12" borderId="17" xfId="0" applyFont="1" applyFill="1" applyBorder="1" applyAlignment="1">
      <alignment vertical="center"/>
    </xf>
    <xf numFmtId="164" fontId="12" fillId="12" borderId="17" xfId="0" applyNumberFormat="1" applyFont="1" applyFill="1" applyBorder="1" applyAlignment="1">
      <alignment horizontal="right" vertical="center"/>
    </xf>
    <xf numFmtId="164" fontId="12" fillId="12" borderId="25" xfId="0" applyNumberFormat="1" applyFont="1" applyFill="1" applyBorder="1" applyAlignment="1">
      <alignment horizontal="right" vertical="center"/>
    </xf>
    <xf numFmtId="10" fontId="12" fillId="12" borderId="25" xfId="0" applyNumberFormat="1" applyFont="1" applyFill="1" applyBorder="1" applyAlignment="1">
      <alignment horizontal="right" vertical="center"/>
    </xf>
    <xf numFmtId="0" fontId="10" fillId="13" borderId="29" xfId="0" applyFont="1" applyFill="1" applyBorder="1" applyAlignment="1">
      <alignment horizontal="center" vertical="center" wrapText="1"/>
    </xf>
    <xf numFmtId="0" fontId="4" fillId="13" borderId="30" xfId="0" applyFont="1" applyFill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1" fillId="13" borderId="31" xfId="0" applyFont="1" applyFill="1" applyBorder="1" applyAlignment="1">
      <alignment vertical="center" wrapText="1"/>
    </xf>
    <xf numFmtId="164" fontId="8" fillId="13" borderId="17" xfId="0" applyNumberFormat="1" applyFont="1" applyFill="1" applyBorder="1" applyAlignment="1">
      <alignment horizontal="right" vertical="center" wrapText="1"/>
    </xf>
    <xf numFmtId="164" fontId="8" fillId="13" borderId="25" xfId="0" applyNumberFormat="1" applyFont="1" applyFill="1" applyBorder="1" applyAlignment="1">
      <alignment horizontal="right" vertical="center" wrapText="1"/>
    </xf>
    <xf numFmtId="10" fontId="1" fillId="13" borderId="25" xfId="0" applyNumberFormat="1" applyFont="1" applyFill="1" applyBorder="1" applyAlignment="1">
      <alignment horizontal="right" vertical="center" wrapText="1"/>
    </xf>
    <xf numFmtId="164" fontId="8" fillId="13" borderId="25" xfId="0" applyNumberFormat="1" applyFont="1" applyFill="1" applyBorder="1" applyAlignment="1">
      <alignment horizontal="right" vertical="center"/>
    </xf>
    <xf numFmtId="164" fontId="1" fillId="13" borderId="25" xfId="0" applyNumberFormat="1" applyFont="1" applyFill="1" applyBorder="1" applyAlignment="1">
      <alignment horizontal="right" vertical="center"/>
    </xf>
    <xf numFmtId="10" fontId="1" fillId="13" borderId="25" xfId="0" applyNumberFormat="1" applyFont="1" applyFill="1" applyBorder="1" applyAlignment="1">
      <alignment horizontal="right" vertical="center"/>
    </xf>
    <xf numFmtId="164" fontId="1" fillId="13" borderId="25" xfId="0" applyNumberFormat="1" applyFont="1" applyFill="1" applyBorder="1" applyAlignment="1">
      <alignment horizontal="right" vertical="center"/>
    </xf>
    <xf numFmtId="0" fontId="4" fillId="0" borderId="0" xfId="0" applyFont="1"/>
    <xf numFmtId="0" fontId="14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164" fontId="15" fillId="9" borderId="25" xfId="0" applyNumberFormat="1" applyFont="1" applyFill="1" applyBorder="1" applyAlignment="1">
      <alignment horizontal="right" vertical="center" wrapText="1"/>
    </xf>
    <xf numFmtId="164" fontId="16" fillId="9" borderId="25" xfId="0" applyNumberFormat="1" applyFont="1" applyFill="1" applyBorder="1" applyAlignment="1">
      <alignment horizontal="right" vertical="center" wrapText="1"/>
    </xf>
    <xf numFmtId="10" fontId="16" fillId="9" borderId="25" xfId="0" applyNumberFormat="1" applyFont="1" applyFill="1" applyBorder="1" applyAlignment="1">
      <alignment horizontal="right" vertical="center" wrapText="1"/>
    </xf>
    <xf numFmtId="164" fontId="15" fillId="0" borderId="25" xfId="0" applyNumberFormat="1" applyFont="1" applyBorder="1" applyAlignment="1">
      <alignment horizontal="right" vertical="center"/>
    </xf>
    <xf numFmtId="164" fontId="1" fillId="0" borderId="25" xfId="0" applyNumberFormat="1" applyFont="1" applyBorder="1" applyAlignment="1">
      <alignment horizontal="right" vertical="center"/>
    </xf>
    <xf numFmtId="164" fontId="16" fillId="6" borderId="25" xfId="0" applyNumberFormat="1" applyFont="1" applyFill="1" applyBorder="1" applyAlignment="1">
      <alignment horizontal="right" vertical="center"/>
    </xf>
    <xf numFmtId="164" fontId="15" fillId="6" borderId="25" xfId="0" applyNumberFormat="1" applyFont="1" applyFill="1" applyBorder="1" applyAlignment="1">
      <alignment horizontal="right" vertical="center"/>
    </xf>
    <xf numFmtId="164" fontId="16" fillId="9" borderId="25" xfId="0" applyNumberFormat="1" applyFont="1" applyFill="1" applyBorder="1" applyAlignment="1">
      <alignment horizontal="right" vertical="center"/>
    </xf>
    <xf numFmtId="164" fontId="8" fillId="9" borderId="25" xfId="0" applyNumberFormat="1" applyFont="1" applyFill="1" applyBorder="1" applyAlignment="1">
      <alignment horizontal="right" vertical="center"/>
    </xf>
    <xf numFmtId="164" fontId="15" fillId="9" borderId="25" xfId="0" applyNumberFormat="1" applyFont="1" applyFill="1" applyBorder="1" applyAlignment="1">
      <alignment horizontal="right" vertical="center"/>
    </xf>
    <xf numFmtId="10" fontId="16" fillId="9" borderId="25" xfId="0" applyNumberFormat="1" applyFont="1" applyFill="1" applyBorder="1" applyAlignment="1">
      <alignment horizontal="right" vertical="center"/>
    </xf>
    <xf numFmtId="164" fontId="16" fillId="0" borderId="25" xfId="0" applyNumberFormat="1" applyFont="1" applyBorder="1" applyAlignment="1">
      <alignment horizontal="right" vertical="center"/>
    </xf>
    <xf numFmtId="164" fontId="16" fillId="0" borderId="25" xfId="0" applyNumberFormat="1" applyFont="1" applyBorder="1" applyAlignment="1">
      <alignment horizontal="right" vertical="center"/>
    </xf>
    <xf numFmtId="164" fontId="16" fillId="14" borderId="25" xfId="0" applyNumberFormat="1" applyFont="1" applyFill="1" applyBorder="1" applyAlignment="1">
      <alignment horizontal="right" vertical="center"/>
    </xf>
    <xf numFmtId="0" fontId="14" fillId="0" borderId="25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6" fillId="0" borderId="25" xfId="0" applyFont="1" applyBorder="1" applyAlignment="1">
      <alignment vertical="center" wrapText="1"/>
    </xf>
    <xf numFmtId="164" fontId="15" fillId="0" borderId="25" xfId="0" applyNumberFormat="1" applyFont="1" applyBorder="1" applyAlignment="1">
      <alignment horizontal="right" vertical="center"/>
    </xf>
    <xf numFmtId="0" fontId="14" fillId="0" borderId="2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6" fillId="0" borderId="24" xfId="0" applyFont="1" applyBorder="1" applyAlignment="1">
      <alignment vertical="center" wrapText="1"/>
    </xf>
    <xf numFmtId="164" fontId="16" fillId="9" borderId="25" xfId="0" applyNumberFormat="1" applyFont="1" applyFill="1" applyBorder="1" applyAlignment="1">
      <alignment horizontal="right" vertical="center" wrapText="1"/>
    </xf>
    <xf numFmtId="164" fontId="15" fillId="6" borderId="25" xfId="0" applyNumberFormat="1" applyFont="1" applyFill="1" applyBorder="1" applyAlignment="1">
      <alignment horizontal="right" vertical="center"/>
    </xf>
    <xf numFmtId="165" fontId="11" fillId="12" borderId="15" xfId="0" applyNumberFormat="1" applyFont="1" applyFill="1" applyBorder="1" applyAlignment="1">
      <alignment horizontal="center" vertical="center" wrapText="1"/>
    </xf>
    <xf numFmtId="165" fontId="11" fillId="12" borderId="16" xfId="0" applyNumberFormat="1" applyFont="1" applyFill="1" applyBorder="1" applyAlignment="1">
      <alignment horizontal="left" vertical="center"/>
    </xf>
    <xf numFmtId="165" fontId="13" fillId="12" borderId="16" xfId="0" applyNumberFormat="1" applyFont="1" applyFill="1" applyBorder="1" applyAlignment="1">
      <alignment horizontal="center" vertical="center"/>
    </xf>
    <xf numFmtId="165" fontId="13" fillId="12" borderId="17" xfId="0" applyNumberFormat="1" applyFont="1" applyFill="1" applyBorder="1" applyAlignment="1">
      <alignment horizontal="center" vertical="center"/>
    </xf>
    <xf numFmtId="10" fontId="12" fillId="12" borderId="25" xfId="0" applyNumberFormat="1" applyFont="1" applyFill="1" applyBorder="1" applyAlignment="1">
      <alignment horizontal="right" vertical="center" wrapText="1"/>
    </xf>
    <xf numFmtId="0" fontId="10" fillId="15" borderId="15" xfId="0" applyFont="1" applyFill="1" applyBorder="1" applyAlignment="1">
      <alignment horizontal="center" vertical="center" wrapText="1"/>
    </xf>
    <xf numFmtId="0" fontId="4" fillId="15" borderId="16" xfId="0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center" vertical="center" wrapText="1"/>
    </xf>
    <xf numFmtId="0" fontId="1" fillId="15" borderId="17" xfId="0" applyFont="1" applyFill="1" applyBorder="1" applyAlignment="1">
      <alignment vertical="center" wrapText="1"/>
    </xf>
    <xf numFmtId="164" fontId="8" fillId="15" borderId="17" xfId="0" applyNumberFormat="1" applyFont="1" applyFill="1" applyBorder="1" applyAlignment="1">
      <alignment horizontal="right" vertical="center" wrapText="1"/>
    </xf>
    <xf numFmtId="10" fontId="1" fillId="15" borderId="25" xfId="0" applyNumberFormat="1" applyFont="1" applyFill="1" applyBorder="1" applyAlignment="1">
      <alignment horizontal="right" vertical="center" wrapText="1"/>
    </xf>
    <xf numFmtId="10" fontId="1" fillId="15" borderId="25" xfId="0" applyNumberFormat="1" applyFont="1" applyFill="1" applyBorder="1" applyAlignment="1">
      <alignment horizontal="right" vertical="center"/>
    </xf>
    <xf numFmtId="164" fontId="8" fillId="0" borderId="25" xfId="0" applyNumberFormat="1" applyFont="1" applyBorder="1" applyAlignment="1">
      <alignment horizontal="right" vertical="center"/>
    </xf>
    <xf numFmtId="0" fontId="14" fillId="0" borderId="24" xfId="0" applyFont="1" applyBorder="1" applyAlignment="1">
      <alignment horizontal="center" vertical="center" wrapText="1"/>
    </xf>
    <xf numFmtId="0" fontId="10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8" fillId="13" borderId="16" xfId="0" applyFont="1" applyFill="1" applyBorder="1" applyAlignment="1">
      <alignment horizontal="center" vertical="center" wrapText="1"/>
    </xf>
    <xf numFmtId="0" fontId="1" fillId="13" borderId="17" xfId="0" applyFont="1" applyFill="1" applyBorder="1" applyAlignment="1">
      <alignment vertical="center" wrapText="1"/>
    </xf>
    <xf numFmtId="0" fontId="14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6" fillId="6" borderId="25" xfId="0" applyFont="1" applyFill="1" applyBorder="1" applyAlignment="1">
      <alignment vertical="center"/>
    </xf>
    <xf numFmtId="164" fontId="15" fillId="9" borderId="32" xfId="0" applyNumberFormat="1" applyFont="1" applyFill="1" applyBorder="1" applyAlignment="1">
      <alignment horizontal="right" vertical="center" wrapText="1"/>
    </xf>
    <xf numFmtId="164" fontId="16" fillId="9" borderId="32" xfId="0" applyNumberFormat="1" applyFont="1" applyFill="1" applyBorder="1" applyAlignment="1">
      <alignment horizontal="right" vertical="center" wrapText="1"/>
    </xf>
    <xf numFmtId="164" fontId="15" fillId="0" borderId="27" xfId="0" applyNumberFormat="1" applyFont="1" applyBorder="1" applyAlignment="1">
      <alignment horizontal="right" vertical="center"/>
    </xf>
    <xf numFmtId="164" fontId="16" fillId="0" borderId="27" xfId="0" applyNumberFormat="1" applyFont="1" applyBorder="1" applyAlignment="1">
      <alignment horizontal="right" vertical="center"/>
    </xf>
    <xf numFmtId="164" fontId="16" fillId="9" borderId="32" xfId="0" applyNumberFormat="1" applyFont="1" applyFill="1" applyBorder="1" applyAlignment="1">
      <alignment horizontal="right" vertical="center"/>
    </xf>
    <xf numFmtId="164" fontId="15" fillId="9" borderId="32" xfId="0" applyNumberFormat="1" applyFont="1" applyFill="1" applyBorder="1" applyAlignment="1">
      <alignment horizontal="right" vertical="center"/>
    </xf>
    <xf numFmtId="164" fontId="16" fillId="14" borderId="32" xfId="0" applyNumberFormat="1" applyFont="1" applyFill="1" applyBorder="1" applyAlignment="1">
      <alignment horizontal="right" vertical="center"/>
    </xf>
    <xf numFmtId="164" fontId="16" fillId="0" borderId="27" xfId="0" applyNumberFormat="1" applyFont="1" applyBorder="1" applyAlignment="1">
      <alignment horizontal="right" vertical="center"/>
    </xf>
    <xf numFmtId="0" fontId="14" fillId="0" borderId="25" xfId="0" applyFont="1" applyBorder="1" applyAlignment="1">
      <alignment horizontal="center" vertical="center" wrapText="1"/>
    </xf>
    <xf numFmtId="0" fontId="16" fillId="0" borderId="25" xfId="0" applyFont="1" applyBorder="1" applyAlignment="1">
      <alignment vertical="center" wrapText="1"/>
    </xf>
    <xf numFmtId="164" fontId="15" fillId="9" borderId="25" xfId="0" applyNumberFormat="1" applyFont="1" applyFill="1" applyBorder="1" applyAlignment="1">
      <alignment horizontal="right" vertical="center" wrapText="1"/>
    </xf>
    <xf numFmtId="164" fontId="16" fillId="14" borderId="25" xfId="0" applyNumberFormat="1" applyFont="1" applyFill="1" applyBorder="1" applyAlignment="1">
      <alignment horizontal="right" vertical="center"/>
    </xf>
    <xf numFmtId="0" fontId="15" fillId="0" borderId="25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left" vertical="center" wrapText="1"/>
    </xf>
    <xf numFmtId="164" fontId="17" fillId="9" borderId="25" xfId="0" applyNumberFormat="1" applyFont="1" applyFill="1" applyBorder="1" applyAlignment="1">
      <alignment horizontal="right" vertical="center" wrapText="1"/>
    </xf>
    <xf numFmtId="0" fontId="3" fillId="0" borderId="17" xfId="0" applyFont="1" applyBorder="1" applyAlignment="1">
      <alignment horizontal="center" vertical="center" wrapText="1"/>
    </xf>
    <xf numFmtId="164" fontId="17" fillId="0" borderId="25" xfId="0" applyNumberFormat="1" applyFont="1" applyBorder="1" applyAlignment="1">
      <alignment horizontal="right" vertical="center"/>
    </xf>
    <xf numFmtId="0" fontId="14" fillId="0" borderId="25" xfId="0" applyFont="1" applyBorder="1" applyAlignment="1">
      <alignment horizontal="center"/>
    </xf>
    <xf numFmtId="0" fontId="16" fillId="0" borderId="2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16" fillId="0" borderId="25" xfId="0" applyFont="1" applyBorder="1" applyAlignment="1">
      <alignment wrapText="1"/>
    </xf>
    <xf numFmtId="164" fontId="18" fillId="0" borderId="25" xfId="0" applyNumberFormat="1" applyFont="1" applyBorder="1" applyAlignment="1">
      <alignment horizontal="right" vertical="center"/>
    </xf>
    <xf numFmtId="0" fontId="16" fillId="0" borderId="27" xfId="0" applyFont="1" applyBorder="1" applyAlignment="1">
      <alignment wrapText="1"/>
    </xf>
    <xf numFmtId="0" fontId="14" fillId="0" borderId="24" xfId="0" applyFont="1" applyBorder="1" applyAlignment="1">
      <alignment horizontal="center"/>
    </xf>
    <xf numFmtId="0" fontId="3" fillId="0" borderId="3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16" fillId="0" borderId="24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4" fillId="0" borderId="25" xfId="0" applyFont="1" applyBorder="1" applyAlignment="1">
      <alignment horizontal="center"/>
    </xf>
    <xf numFmtId="0" fontId="3" fillId="0" borderId="31" xfId="0" applyFont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/>
    </xf>
    <xf numFmtId="0" fontId="15" fillId="6" borderId="25" xfId="0" applyFont="1" applyFill="1" applyBorder="1" applyAlignment="1">
      <alignment horizontal="center" vertical="center" wrapText="1"/>
    </xf>
    <xf numFmtId="0" fontId="16" fillId="6" borderId="25" xfId="0" applyFont="1" applyFill="1" applyBorder="1" applyAlignment="1">
      <alignment vertical="center" wrapText="1"/>
    </xf>
    <xf numFmtId="0" fontId="16" fillId="6" borderId="25" xfId="0" applyFont="1" applyFill="1" applyBorder="1" applyAlignment="1">
      <alignment vertical="center" wrapText="1"/>
    </xf>
    <xf numFmtId="0" fontId="14" fillId="6" borderId="27" xfId="0" applyFont="1" applyFill="1" applyBorder="1" applyAlignment="1">
      <alignment horizontal="center" vertical="center" wrapText="1"/>
    </xf>
    <xf numFmtId="164" fontId="15" fillId="9" borderId="27" xfId="0" applyNumberFormat="1" applyFont="1" applyFill="1" applyBorder="1" applyAlignment="1">
      <alignment horizontal="right" vertical="center" wrapText="1"/>
    </xf>
    <xf numFmtId="164" fontId="16" fillId="9" borderId="27" xfId="0" applyNumberFormat="1" applyFont="1" applyFill="1" applyBorder="1" applyAlignment="1">
      <alignment horizontal="right" vertical="center" wrapText="1"/>
    </xf>
    <xf numFmtId="0" fontId="14" fillId="6" borderId="32" xfId="0" applyFont="1" applyFill="1" applyBorder="1" applyAlignment="1">
      <alignment horizontal="center" vertical="center" wrapText="1"/>
    </xf>
    <xf numFmtId="0" fontId="14" fillId="6" borderId="25" xfId="0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6" fillId="0" borderId="31" xfId="0" applyFont="1" applyBorder="1" applyAlignment="1">
      <alignment vertical="center" wrapText="1"/>
    </xf>
    <xf numFmtId="164" fontId="15" fillId="9" borderId="34" xfId="0" applyNumberFormat="1" applyFont="1" applyFill="1" applyBorder="1" applyAlignment="1">
      <alignment horizontal="right" vertical="center" wrapText="1"/>
    </xf>
    <xf numFmtId="164" fontId="16" fillId="9" borderId="34" xfId="0" applyNumberFormat="1" applyFont="1" applyFill="1" applyBorder="1" applyAlignment="1">
      <alignment horizontal="right" vertical="center" wrapText="1"/>
    </xf>
    <xf numFmtId="164" fontId="16" fillId="14" borderId="32" xfId="0" applyNumberFormat="1" applyFont="1" applyFill="1" applyBorder="1" applyAlignment="1">
      <alignment horizontal="right" vertical="center"/>
    </xf>
    <xf numFmtId="0" fontId="3" fillId="0" borderId="24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164" fontId="15" fillId="9" borderId="26" xfId="0" applyNumberFormat="1" applyFont="1" applyFill="1" applyBorder="1" applyAlignment="1">
      <alignment horizontal="right" vertical="center" wrapText="1"/>
    </xf>
    <xf numFmtId="164" fontId="16" fillId="9" borderId="26" xfId="0" applyNumberFormat="1" applyFont="1" applyFill="1" applyBorder="1" applyAlignment="1">
      <alignment horizontal="right" vertical="center" wrapText="1"/>
    </xf>
    <xf numFmtId="0" fontId="3" fillId="6" borderId="25" xfId="0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vertical="center" wrapText="1"/>
    </xf>
    <xf numFmtId="164" fontId="15" fillId="9" borderId="35" xfId="0" applyNumberFormat="1" applyFont="1" applyFill="1" applyBorder="1" applyAlignment="1">
      <alignment horizontal="right" vertical="center" wrapText="1"/>
    </xf>
    <xf numFmtId="164" fontId="16" fillId="9" borderId="35" xfId="0" applyNumberFormat="1" applyFont="1" applyFill="1" applyBorder="1" applyAlignment="1">
      <alignment horizontal="right" vertical="center" wrapText="1"/>
    </xf>
    <xf numFmtId="164" fontId="16" fillId="14" borderId="27" xfId="0" applyNumberFormat="1" applyFont="1" applyFill="1" applyBorder="1" applyAlignment="1">
      <alignment horizontal="right" vertical="center"/>
    </xf>
    <xf numFmtId="164" fontId="17" fillId="14" borderId="25" xfId="0" applyNumberFormat="1" applyFont="1" applyFill="1" applyBorder="1" applyAlignment="1">
      <alignment horizontal="right" vertical="center"/>
    </xf>
    <xf numFmtId="0" fontId="14" fillId="0" borderId="27" xfId="0" applyFont="1" applyBorder="1" applyAlignment="1">
      <alignment horizontal="center"/>
    </xf>
    <xf numFmtId="0" fontId="16" fillId="0" borderId="27" xfId="0" applyFont="1" applyBorder="1" applyAlignment="1">
      <alignment vertical="center" wrapText="1"/>
    </xf>
    <xf numFmtId="164" fontId="15" fillId="9" borderId="17" xfId="0" applyNumberFormat="1" applyFont="1" applyFill="1" applyBorder="1" applyAlignment="1">
      <alignment horizontal="right" vertical="center" wrapText="1"/>
    </xf>
    <xf numFmtId="164" fontId="16" fillId="9" borderId="17" xfId="0" applyNumberFormat="1" applyFont="1" applyFill="1" applyBorder="1" applyAlignment="1">
      <alignment horizontal="right" vertical="center" wrapText="1"/>
    </xf>
    <xf numFmtId="0" fontId="19" fillId="0" borderId="25" xfId="0" applyFont="1" applyBorder="1" applyAlignment="1">
      <alignment horizontal="center"/>
    </xf>
    <xf numFmtId="0" fontId="15" fillId="0" borderId="17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6" fillId="0" borderId="33" xfId="0" applyFont="1" applyBorder="1" applyAlignment="1">
      <alignment vertical="center" wrapText="1"/>
    </xf>
    <xf numFmtId="0" fontId="14" fillId="6" borderId="36" xfId="0" applyFont="1" applyFill="1" applyBorder="1" applyAlignment="1">
      <alignment horizontal="center" vertical="center" wrapText="1"/>
    </xf>
    <xf numFmtId="0" fontId="15" fillId="6" borderId="24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 wrapText="1"/>
    </xf>
    <xf numFmtId="0" fontId="15" fillId="0" borderId="36" xfId="0" applyFont="1" applyBorder="1" applyAlignment="1">
      <alignment vertical="center" wrapText="1"/>
    </xf>
    <xf numFmtId="10" fontId="15" fillId="9" borderId="25" xfId="0" applyNumberFormat="1" applyFont="1" applyFill="1" applyBorder="1" applyAlignment="1">
      <alignment horizontal="right" vertical="center" wrapText="1"/>
    </xf>
    <xf numFmtId="10" fontId="15" fillId="9" borderId="25" xfId="0" applyNumberFormat="1" applyFont="1" applyFill="1" applyBorder="1" applyAlignment="1">
      <alignment horizontal="right" vertical="center"/>
    </xf>
    <xf numFmtId="164" fontId="15" fillId="14" borderId="25" xfId="0" applyNumberFormat="1" applyFont="1" applyFill="1" applyBorder="1" applyAlignment="1">
      <alignment horizontal="right" vertical="center"/>
    </xf>
    <xf numFmtId="0" fontId="14" fillId="0" borderId="0" xfId="0" applyFont="1"/>
    <xf numFmtId="0" fontId="3" fillId="0" borderId="31" xfId="0" applyFont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4" fillId="0" borderId="24" xfId="0" applyFont="1" applyBorder="1" applyAlignment="1">
      <alignment horizontal="center"/>
    </xf>
    <xf numFmtId="0" fontId="1" fillId="15" borderId="17" xfId="0" applyFont="1" applyFill="1" applyBorder="1" applyAlignment="1">
      <alignment vertical="center" wrapText="1"/>
    </xf>
    <xf numFmtId="164" fontId="8" fillId="9" borderId="25" xfId="0" applyNumberFormat="1" applyFont="1" applyFill="1" applyBorder="1" applyAlignment="1">
      <alignment horizontal="right" vertical="center" wrapText="1"/>
    </xf>
    <xf numFmtId="164" fontId="8" fillId="9" borderId="25" xfId="0" applyNumberFormat="1" applyFont="1" applyFill="1" applyBorder="1" applyAlignment="1">
      <alignment horizontal="right" vertical="center" wrapText="1"/>
    </xf>
    <xf numFmtId="0" fontId="10" fillId="16" borderId="29" xfId="0" applyFont="1" applyFill="1" applyBorder="1" applyAlignment="1">
      <alignment horizontal="center" vertical="center" wrapText="1"/>
    </xf>
    <xf numFmtId="0" fontId="4" fillId="16" borderId="30" xfId="0" applyFont="1" applyFill="1" applyBorder="1" applyAlignment="1">
      <alignment horizontal="center" vertical="center" wrapText="1"/>
    </xf>
    <xf numFmtId="0" fontId="8" fillId="16" borderId="30" xfId="0" applyFont="1" applyFill="1" applyBorder="1" applyAlignment="1">
      <alignment horizontal="center" vertical="center" wrapText="1"/>
    </xf>
    <xf numFmtId="0" fontId="1" fillId="16" borderId="31" xfId="0" applyFont="1" applyFill="1" applyBorder="1" applyAlignment="1">
      <alignment vertical="center" wrapText="1"/>
    </xf>
    <xf numFmtId="164" fontId="8" fillId="16" borderId="17" xfId="0" applyNumberFormat="1" applyFont="1" applyFill="1" applyBorder="1" applyAlignment="1">
      <alignment horizontal="right" vertical="center" wrapText="1"/>
    </xf>
    <xf numFmtId="164" fontId="8" fillId="16" borderId="25" xfId="0" applyNumberFormat="1" applyFont="1" applyFill="1" applyBorder="1" applyAlignment="1">
      <alignment horizontal="right" vertical="center" wrapText="1"/>
    </xf>
    <xf numFmtId="10" fontId="1" fillId="16" borderId="25" xfId="0" applyNumberFormat="1" applyFont="1" applyFill="1" applyBorder="1" applyAlignment="1">
      <alignment horizontal="right" vertical="center" wrapText="1"/>
    </xf>
    <xf numFmtId="10" fontId="1" fillId="16" borderId="25" xfId="0" applyNumberFormat="1" applyFont="1" applyFill="1" applyBorder="1" applyAlignment="1">
      <alignment horizontal="right" vertical="center"/>
    </xf>
    <xf numFmtId="0" fontId="10" fillId="16" borderId="15" xfId="0" applyFont="1" applyFill="1" applyBorder="1" applyAlignment="1">
      <alignment horizontal="center" vertical="center" wrapText="1"/>
    </xf>
    <xf numFmtId="0" fontId="4" fillId="16" borderId="16" xfId="0" applyFont="1" applyFill="1" applyBorder="1" applyAlignment="1">
      <alignment horizontal="center" vertical="center" wrapText="1"/>
    </xf>
    <xf numFmtId="0" fontId="8" fillId="16" borderId="16" xfId="0" applyFont="1" applyFill="1" applyBorder="1" applyAlignment="1">
      <alignment horizontal="center" vertical="center" wrapText="1"/>
    </xf>
    <xf numFmtId="0" fontId="1" fillId="16" borderId="17" xfId="0" applyFont="1" applyFill="1" applyBorder="1" applyAlignment="1">
      <alignment vertical="center" wrapText="1"/>
    </xf>
    <xf numFmtId="164" fontId="17" fillId="6" borderId="25" xfId="0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vertical="center" wrapText="1"/>
    </xf>
    <xf numFmtId="164" fontId="15" fillId="9" borderId="31" xfId="0" applyNumberFormat="1" applyFont="1" applyFill="1" applyBorder="1" applyAlignment="1">
      <alignment horizontal="right" vertical="center" wrapText="1"/>
    </xf>
    <xf numFmtId="164" fontId="16" fillId="9" borderId="31" xfId="0" applyNumberFormat="1" applyFont="1" applyFill="1" applyBorder="1" applyAlignment="1">
      <alignment horizontal="right" vertical="center" wrapText="1"/>
    </xf>
    <xf numFmtId="0" fontId="14" fillId="0" borderId="25" xfId="0" applyFont="1" applyBorder="1" applyAlignment="1">
      <alignment horizontal="center" vertical="center"/>
    </xf>
    <xf numFmtId="164" fontId="8" fillId="0" borderId="25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11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vertical="center"/>
    </xf>
    <xf numFmtId="0" fontId="13" fillId="0" borderId="16" xfId="0" applyFont="1" applyBorder="1" applyAlignment="1">
      <alignment horizontal="left" vertical="center"/>
    </xf>
    <xf numFmtId="0" fontId="13" fillId="0" borderId="17" xfId="0" applyFont="1" applyBorder="1" applyAlignment="1">
      <alignment vertical="center"/>
    </xf>
    <xf numFmtId="164" fontId="12" fillId="0" borderId="17" xfId="0" applyNumberFormat="1" applyFont="1" applyBorder="1" applyAlignment="1">
      <alignment horizontal="right" vertical="center"/>
    </xf>
    <xf numFmtId="10" fontId="12" fillId="0" borderId="25" xfId="0" applyNumberFormat="1" applyFont="1" applyBorder="1" applyAlignment="1">
      <alignment horizontal="right" vertical="center" wrapText="1"/>
    </xf>
    <xf numFmtId="164" fontId="8" fillId="0" borderId="17" xfId="0" applyNumberFormat="1" applyFont="1" applyBorder="1" applyAlignment="1">
      <alignment horizontal="right" vertical="center"/>
    </xf>
    <xf numFmtId="10" fontId="12" fillId="0" borderId="25" xfId="0" applyNumberFormat="1" applyFont="1" applyBorder="1" applyAlignment="1">
      <alignment horizontal="right" vertical="center"/>
    </xf>
    <xf numFmtId="0" fontId="13" fillId="12" borderId="16" xfId="0" applyFont="1" applyFill="1" applyBorder="1" applyAlignment="1">
      <alignment horizontal="left" vertical="center"/>
    </xf>
    <xf numFmtId="0" fontId="10" fillId="15" borderId="37" xfId="0" applyFont="1" applyFill="1" applyBorder="1" applyAlignment="1">
      <alignment horizontal="center" vertical="center" wrapText="1"/>
    </xf>
    <xf numFmtId="0" fontId="4" fillId="15" borderId="0" xfId="0" applyFont="1" applyFill="1" applyAlignment="1">
      <alignment horizontal="center" vertical="center"/>
    </xf>
    <xf numFmtId="0" fontId="8" fillId="15" borderId="0" xfId="0" applyFont="1" applyFill="1" applyAlignment="1">
      <alignment horizontal="center" vertical="center" wrapText="1"/>
    </xf>
    <xf numFmtId="0" fontId="1" fillId="15" borderId="38" xfId="0" applyFont="1" applyFill="1" applyBorder="1" applyAlignment="1">
      <alignment vertical="center" wrapText="1"/>
    </xf>
    <xf numFmtId="0" fontId="3" fillId="0" borderId="27" xfId="0" applyFont="1" applyBorder="1" applyAlignment="1">
      <alignment horizontal="center" vertical="center" wrapText="1"/>
    </xf>
    <xf numFmtId="164" fontId="15" fillId="0" borderId="25" xfId="0" applyNumberFormat="1" applyFont="1" applyBorder="1" applyAlignment="1">
      <alignment horizontal="right" vertical="center" wrapText="1"/>
    </xf>
    <xf numFmtId="0" fontId="15" fillId="0" borderId="27" xfId="0" applyFont="1" applyBorder="1" applyAlignment="1">
      <alignment horizontal="center" vertical="center" wrapText="1"/>
    </xf>
    <xf numFmtId="0" fontId="14" fillId="14" borderId="24" xfId="0" applyFont="1" applyFill="1" applyBorder="1" applyAlignment="1">
      <alignment horizontal="center" vertical="center" wrapText="1"/>
    </xf>
    <xf numFmtId="0" fontId="3" fillId="14" borderId="24" xfId="0" applyFont="1" applyFill="1" applyBorder="1" applyAlignment="1">
      <alignment horizontal="center" vertical="center"/>
    </xf>
    <xf numFmtId="164" fontId="15" fillId="14" borderId="25" xfId="0" applyNumberFormat="1" applyFont="1" applyFill="1" applyBorder="1" applyAlignment="1">
      <alignment horizontal="right" vertical="center" wrapText="1"/>
    </xf>
    <xf numFmtId="164" fontId="16" fillId="14" borderId="25" xfId="0" applyNumberFormat="1" applyFont="1" applyFill="1" applyBorder="1" applyAlignment="1">
      <alignment horizontal="right" vertical="center" wrapText="1"/>
    </xf>
    <xf numFmtId="164" fontId="8" fillId="14" borderId="25" xfId="0" applyNumberFormat="1" applyFont="1" applyFill="1" applyBorder="1" applyAlignment="1">
      <alignment horizontal="right" vertical="center" wrapText="1"/>
    </xf>
    <xf numFmtId="164" fontId="1" fillId="14" borderId="25" xfId="0" applyNumberFormat="1" applyFont="1" applyFill="1" applyBorder="1" applyAlignment="1">
      <alignment horizontal="right" vertical="center" wrapText="1"/>
    </xf>
    <xf numFmtId="0" fontId="3" fillId="14" borderId="26" xfId="0" applyFont="1" applyFill="1" applyBorder="1" applyAlignment="1">
      <alignment horizontal="center" vertical="center" wrapText="1"/>
    </xf>
    <xf numFmtId="0" fontId="16" fillId="14" borderId="25" xfId="0" applyFont="1" applyFill="1" applyBorder="1" applyAlignment="1">
      <alignment vertical="center" wrapText="1"/>
    </xf>
    <xf numFmtId="164" fontId="16" fillId="14" borderId="25" xfId="0" applyNumberFormat="1" applyFont="1" applyFill="1" applyBorder="1" applyAlignment="1">
      <alignment horizontal="right" vertical="center" wrapText="1"/>
    </xf>
    <xf numFmtId="0" fontId="19" fillId="0" borderId="25" xfId="0" applyFont="1" applyBorder="1" applyAlignment="1">
      <alignment horizontal="center"/>
    </xf>
    <xf numFmtId="0" fontId="3" fillId="14" borderId="25" xfId="0" applyFont="1" applyFill="1" applyBorder="1" applyAlignment="1">
      <alignment horizontal="center" vertical="center" wrapText="1"/>
    </xf>
    <xf numFmtId="0" fontId="16" fillId="14" borderId="25" xfId="0" applyFont="1" applyFill="1" applyBorder="1" applyAlignment="1">
      <alignment vertical="center" wrapText="1"/>
    </xf>
    <xf numFmtId="164" fontId="15" fillId="14" borderId="25" xfId="0" applyNumberFormat="1" applyFont="1" applyFill="1" applyBorder="1" applyAlignment="1">
      <alignment horizontal="right" vertical="center"/>
    </xf>
    <xf numFmtId="164" fontId="20" fillId="14" borderId="25" xfId="0" applyNumberFormat="1" applyFont="1" applyFill="1" applyBorder="1" applyAlignment="1">
      <alignment horizontal="right" vertical="center"/>
    </xf>
    <xf numFmtId="0" fontId="10" fillId="15" borderId="39" xfId="0" applyFont="1" applyFill="1" applyBorder="1" applyAlignment="1">
      <alignment horizontal="center" vertical="center" wrapText="1"/>
    </xf>
    <xf numFmtId="0" fontId="4" fillId="15" borderId="40" xfId="0" applyFont="1" applyFill="1" applyBorder="1" applyAlignment="1">
      <alignment horizontal="center" vertical="center"/>
    </xf>
    <xf numFmtId="0" fontId="8" fillId="15" borderId="40" xfId="0" applyFont="1" applyFill="1" applyBorder="1" applyAlignment="1">
      <alignment horizontal="center" vertical="center" wrapText="1"/>
    </xf>
    <xf numFmtId="0" fontId="1" fillId="15" borderId="33" xfId="0" applyFont="1" applyFill="1" applyBorder="1" applyAlignment="1">
      <alignment vertical="center" wrapText="1"/>
    </xf>
    <xf numFmtId="164" fontId="8" fillId="15" borderId="25" xfId="0" applyNumberFormat="1" applyFont="1" applyFill="1" applyBorder="1" applyAlignment="1">
      <alignment horizontal="right" vertical="center" wrapText="1"/>
    </xf>
    <xf numFmtId="164" fontId="15" fillId="0" borderId="25" xfId="0" applyNumberFormat="1" applyFont="1" applyBorder="1" applyAlignment="1">
      <alignment horizontal="right" vertical="center" wrapText="1"/>
    </xf>
    <xf numFmtId="0" fontId="14" fillId="0" borderId="36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16" fillId="0" borderId="36" xfId="0" applyFont="1" applyBorder="1" applyAlignment="1">
      <alignment vertical="center" wrapText="1"/>
    </xf>
    <xf numFmtId="0" fontId="10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/>
    </xf>
    <xf numFmtId="0" fontId="1" fillId="13" borderId="17" xfId="0" applyFont="1" applyFill="1" applyBorder="1" applyAlignment="1">
      <alignment vertical="center" wrapText="1"/>
    </xf>
    <xf numFmtId="164" fontId="8" fillId="13" borderId="25" xfId="0" applyNumberFormat="1" applyFont="1" applyFill="1" applyBorder="1" applyAlignment="1">
      <alignment horizontal="right" vertical="center"/>
    </xf>
    <xf numFmtId="164" fontId="1" fillId="13" borderId="25" xfId="0" applyNumberFormat="1" applyFont="1" applyFill="1" applyBorder="1" applyAlignment="1">
      <alignment horizontal="right" vertical="center" wrapText="1"/>
    </xf>
    <xf numFmtId="0" fontId="4" fillId="0" borderId="4" xfId="0" applyFont="1" applyBorder="1"/>
    <xf numFmtId="0" fontId="14" fillId="14" borderId="36" xfId="0" applyFont="1" applyFill="1" applyBorder="1" applyAlignment="1">
      <alignment horizontal="center" vertical="center" wrapText="1"/>
    </xf>
    <xf numFmtId="0" fontId="3" fillId="14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 wrapText="1"/>
    </xf>
    <xf numFmtId="164" fontId="17" fillId="9" borderId="25" xfId="0" applyNumberFormat="1" applyFont="1" applyFill="1" applyBorder="1" applyAlignment="1">
      <alignment horizontal="right" vertical="center" wrapText="1"/>
    </xf>
    <xf numFmtId="164" fontId="8" fillId="14" borderId="25" xfId="0" applyNumberFormat="1" applyFont="1" applyFill="1" applyBorder="1" applyAlignment="1">
      <alignment horizontal="right" vertical="center"/>
    </xf>
    <xf numFmtId="164" fontId="1" fillId="14" borderId="25" xfId="0" applyNumberFormat="1" applyFont="1" applyFill="1" applyBorder="1" applyAlignment="1">
      <alignment horizontal="right" vertical="center"/>
    </xf>
    <xf numFmtId="0" fontId="4" fillId="15" borderId="39" xfId="0" applyFont="1" applyFill="1" applyBorder="1" applyAlignment="1">
      <alignment horizontal="center" vertical="center" wrapText="1"/>
    </xf>
    <xf numFmtId="0" fontId="1" fillId="15" borderId="33" xfId="0" applyFont="1" applyFill="1" applyBorder="1" applyAlignment="1">
      <alignment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horizontal="center" vertical="center" wrapText="1"/>
    </xf>
    <xf numFmtId="0" fontId="15" fillId="13" borderId="16" xfId="0" applyFont="1" applyFill="1" applyBorder="1" applyAlignment="1">
      <alignment horizontal="center" vertical="center" wrapText="1"/>
    </xf>
    <xf numFmtId="0" fontId="16" fillId="6" borderId="36" xfId="0" applyFont="1" applyFill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164" fontId="8" fillId="6" borderId="25" xfId="0" applyNumberFormat="1" applyFont="1" applyFill="1" applyBorder="1" applyAlignment="1">
      <alignment horizontal="right" vertical="center"/>
    </xf>
    <xf numFmtId="164" fontId="16" fillId="0" borderId="25" xfId="0" applyNumberFormat="1" applyFont="1" applyBorder="1" applyAlignment="1">
      <alignment horizontal="right" vertical="center" wrapText="1"/>
    </xf>
    <xf numFmtId="164" fontId="16" fillId="0" borderId="25" xfId="0" applyNumberFormat="1" applyFont="1" applyBorder="1" applyAlignment="1">
      <alignment horizontal="right" vertical="center" wrapText="1"/>
    </xf>
    <xf numFmtId="0" fontId="4" fillId="0" borderId="25" xfId="0" applyFont="1" applyBorder="1" applyAlignment="1">
      <alignment horizontal="center" vertical="center"/>
    </xf>
    <xf numFmtId="164" fontId="8" fillId="0" borderId="25" xfId="0" applyNumberFormat="1" applyFont="1" applyBorder="1" applyAlignment="1">
      <alignment horizontal="right" vertical="center" wrapText="1"/>
    </xf>
    <xf numFmtId="164" fontId="1" fillId="0" borderId="25" xfId="0" applyNumberFormat="1" applyFont="1" applyBorder="1" applyAlignment="1">
      <alignment horizontal="right" vertical="center" wrapText="1"/>
    </xf>
    <xf numFmtId="164" fontId="1" fillId="0" borderId="25" xfId="0" applyNumberFormat="1" applyFont="1" applyBorder="1" applyAlignment="1">
      <alignment horizontal="right" vertical="center" wrapText="1"/>
    </xf>
    <xf numFmtId="0" fontId="3" fillId="0" borderId="25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164" fontId="15" fillId="13" borderId="17" xfId="0" applyNumberFormat="1" applyFont="1" applyFill="1" applyBorder="1" applyAlignment="1">
      <alignment horizontal="right" vertical="center" wrapText="1"/>
    </xf>
    <xf numFmtId="10" fontId="16" fillId="13" borderId="25" xfId="0" applyNumberFormat="1" applyFont="1" applyFill="1" applyBorder="1" applyAlignment="1">
      <alignment horizontal="right" vertical="center" wrapText="1"/>
    </xf>
    <xf numFmtId="10" fontId="16" fillId="13" borderId="25" xfId="0" applyNumberFormat="1" applyFont="1" applyFill="1" applyBorder="1" applyAlignment="1">
      <alignment horizontal="right" vertical="center"/>
    </xf>
    <xf numFmtId="0" fontId="10" fillId="0" borderId="25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/>
    </xf>
    <xf numFmtId="0" fontId="15" fillId="0" borderId="17" xfId="0" applyFont="1" applyBorder="1" applyAlignment="1"/>
    <xf numFmtId="0" fontId="16" fillId="0" borderId="25" xfId="0" applyFont="1" applyBorder="1" applyAlignment="1">
      <alignment horizontal="left" vertical="center" wrapText="1"/>
    </xf>
    <xf numFmtId="0" fontId="14" fillId="14" borderId="25" xfId="0" applyFont="1" applyFill="1" applyBorder="1" applyAlignment="1">
      <alignment horizontal="center" vertical="center" wrapText="1"/>
    </xf>
    <xf numFmtId="0" fontId="3" fillId="14" borderId="25" xfId="0" applyFont="1" applyFill="1" applyBorder="1" applyAlignment="1">
      <alignment horizontal="center" vertical="center"/>
    </xf>
    <xf numFmtId="0" fontId="14" fillId="14" borderId="24" xfId="0" applyFont="1" applyFill="1" applyBorder="1" applyAlignment="1">
      <alignment horizontal="center" vertical="center" wrapText="1"/>
    </xf>
    <xf numFmtId="0" fontId="16" fillId="14" borderId="24" xfId="0" applyFont="1" applyFill="1" applyBorder="1" applyAlignment="1">
      <alignment vertical="center" wrapText="1"/>
    </xf>
    <xf numFmtId="0" fontId="14" fillId="14" borderId="25" xfId="0" applyFont="1" applyFill="1" applyBorder="1" applyAlignment="1">
      <alignment horizontal="center" vertical="center" wrapText="1"/>
    </xf>
    <xf numFmtId="0" fontId="14" fillId="14" borderId="41" xfId="0" applyFont="1" applyFill="1" applyBorder="1" applyAlignment="1">
      <alignment horizontal="center" vertical="center" wrapText="1"/>
    </xf>
    <xf numFmtId="164" fontId="15" fillId="14" borderId="25" xfId="0" applyNumberFormat="1" applyFont="1" applyFill="1" applyBorder="1" applyAlignment="1">
      <alignment horizontal="right" vertical="center" wrapText="1"/>
    </xf>
    <xf numFmtId="164" fontId="1" fillId="14" borderId="25" xfId="0" applyNumberFormat="1" applyFont="1" applyFill="1" applyBorder="1" applyAlignment="1">
      <alignment horizontal="right" vertical="center" wrapText="1"/>
    </xf>
    <xf numFmtId="164" fontId="8" fillId="14" borderId="25" xfId="0" applyNumberFormat="1" applyFont="1" applyFill="1" applyBorder="1" applyAlignment="1">
      <alignment horizontal="right" vertical="center" wrapText="1"/>
    </xf>
    <xf numFmtId="0" fontId="14" fillId="14" borderId="27" xfId="0" applyFont="1" applyFill="1" applyBorder="1" applyAlignment="1">
      <alignment horizontal="center" vertical="center" wrapText="1"/>
    </xf>
    <xf numFmtId="0" fontId="3" fillId="14" borderId="27" xfId="0" applyFont="1" applyFill="1" applyBorder="1" applyAlignment="1">
      <alignment horizontal="center" vertical="center"/>
    </xf>
    <xf numFmtId="0" fontId="21" fillId="6" borderId="0" xfId="0" applyFont="1" applyFill="1" applyAlignment="1"/>
    <xf numFmtId="0" fontId="21" fillId="6" borderId="25" xfId="0" applyFont="1" applyFill="1" applyBorder="1" applyAlignment="1"/>
    <xf numFmtId="164" fontId="8" fillId="14" borderId="25" xfId="0" applyNumberFormat="1" applyFont="1" applyFill="1" applyBorder="1" applyAlignment="1">
      <alignment horizontal="right" vertical="center"/>
    </xf>
    <xf numFmtId="0" fontId="11" fillId="0" borderId="39" xfId="0" applyFont="1" applyBorder="1" applyAlignment="1">
      <alignment horizontal="center" vertical="center" wrapText="1"/>
    </xf>
    <xf numFmtId="0" fontId="12" fillId="0" borderId="40" xfId="0" applyFont="1" applyBorder="1" applyAlignment="1">
      <alignment vertical="center"/>
    </xf>
    <xf numFmtId="0" fontId="13" fillId="0" borderId="40" xfId="0" applyFont="1" applyBorder="1" applyAlignment="1">
      <alignment horizontal="left" vertical="center"/>
    </xf>
    <xf numFmtId="0" fontId="13" fillId="0" borderId="33" xfId="0" applyFont="1" applyBorder="1" applyAlignment="1">
      <alignment vertical="center"/>
    </xf>
    <xf numFmtId="164" fontId="12" fillId="0" borderId="25" xfId="0" applyNumberFormat="1" applyFont="1" applyBorder="1" applyAlignment="1">
      <alignment horizontal="right" vertical="center"/>
    </xf>
    <xf numFmtId="0" fontId="11" fillId="12" borderId="39" xfId="0" applyFont="1" applyFill="1" applyBorder="1" applyAlignment="1">
      <alignment horizontal="center" vertical="center" wrapText="1"/>
    </xf>
    <xf numFmtId="0" fontId="12" fillId="12" borderId="40" xfId="0" applyFont="1" applyFill="1" applyBorder="1" applyAlignment="1">
      <alignment vertical="center"/>
    </xf>
    <xf numFmtId="0" fontId="13" fillId="12" borderId="40" xfId="0" applyFont="1" applyFill="1" applyBorder="1" applyAlignment="1">
      <alignment horizontal="left" vertical="center"/>
    </xf>
    <xf numFmtId="0" fontId="13" fillId="12" borderId="33" xfId="0" applyFont="1" applyFill="1" applyBorder="1" applyAlignment="1">
      <alignment vertical="center"/>
    </xf>
    <xf numFmtId="0" fontId="15" fillId="0" borderId="27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15" fillId="6" borderId="30" xfId="0" applyFont="1" applyFill="1" applyBorder="1" applyAlignment="1"/>
    <xf numFmtId="0" fontId="15" fillId="6" borderId="16" xfId="0" applyFont="1" applyFill="1" applyBorder="1" applyAlignment="1"/>
    <xf numFmtId="0" fontId="15" fillId="6" borderId="40" xfId="0" applyFont="1" applyFill="1" applyBorder="1" applyAlignment="1"/>
    <xf numFmtId="0" fontId="4" fillId="14" borderId="25" xfId="0" applyFont="1" applyFill="1" applyBorder="1" applyAlignment="1">
      <alignment horizontal="center" vertical="center"/>
    </xf>
    <xf numFmtId="164" fontId="1" fillId="9" borderId="25" xfId="0" applyNumberFormat="1" applyFont="1" applyFill="1" applyBorder="1" applyAlignment="1">
      <alignment horizontal="right" vertical="center" wrapText="1"/>
    </xf>
    <xf numFmtId="0" fontId="22" fillId="15" borderId="15" xfId="0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vertical="center" wrapText="1"/>
    </xf>
    <xf numFmtId="0" fontId="22" fillId="15" borderId="39" xfId="0" applyFont="1" applyFill="1" applyBorder="1" applyAlignment="1">
      <alignment horizontal="center" vertical="center" wrapText="1"/>
    </xf>
    <xf numFmtId="0" fontId="22" fillId="17" borderId="15" xfId="0" applyFont="1" applyFill="1" applyBorder="1" applyAlignment="1">
      <alignment horizontal="center" vertical="center" wrapText="1"/>
    </xf>
    <xf numFmtId="0" fontId="4" fillId="17" borderId="16" xfId="0" applyFont="1" applyFill="1" applyBorder="1" applyAlignment="1">
      <alignment horizontal="center" vertical="center" wrapText="1"/>
    </xf>
    <xf numFmtId="0" fontId="8" fillId="17" borderId="16" xfId="0" applyFont="1" applyFill="1" applyBorder="1" applyAlignment="1">
      <alignment horizontal="center" vertical="center" wrapText="1"/>
    </xf>
    <xf numFmtId="0" fontId="1" fillId="17" borderId="17" xfId="0" applyFont="1" applyFill="1" applyBorder="1" applyAlignment="1">
      <alignment vertical="center" wrapText="1"/>
    </xf>
    <xf numFmtId="164" fontId="8" fillId="17" borderId="17" xfId="0" applyNumberFormat="1" applyFont="1" applyFill="1" applyBorder="1" applyAlignment="1">
      <alignment horizontal="right" vertical="center" wrapText="1"/>
    </xf>
    <xf numFmtId="10" fontId="1" fillId="17" borderId="25" xfId="0" applyNumberFormat="1" applyFont="1" applyFill="1" applyBorder="1" applyAlignment="1">
      <alignment horizontal="right" vertical="center" wrapText="1"/>
    </xf>
    <xf numFmtId="10" fontId="1" fillId="17" borderId="25" xfId="0" applyNumberFormat="1" applyFont="1" applyFill="1" applyBorder="1" applyAlignment="1">
      <alignment horizontal="right" vertical="center"/>
    </xf>
    <xf numFmtId="164" fontId="15" fillId="9" borderId="41" xfId="0" applyNumberFormat="1" applyFont="1" applyFill="1" applyBorder="1" applyAlignment="1">
      <alignment horizontal="right" vertical="center" wrapText="1"/>
    </xf>
    <xf numFmtId="164" fontId="15" fillId="9" borderId="42" xfId="0" applyNumberFormat="1" applyFont="1" applyFill="1" applyBorder="1" applyAlignment="1">
      <alignment horizontal="right" vertical="center" wrapText="1"/>
    </xf>
    <xf numFmtId="164" fontId="14" fillId="9" borderId="25" xfId="0" applyNumberFormat="1" applyFont="1" applyFill="1" applyBorder="1" applyAlignment="1">
      <alignment vertical="center"/>
    </xf>
    <xf numFmtId="10" fontId="16" fillId="9" borderId="26" xfId="0" applyNumberFormat="1" applyFont="1" applyFill="1" applyBorder="1" applyAlignment="1">
      <alignment horizontal="right" vertical="center" wrapText="1"/>
    </xf>
    <xf numFmtId="0" fontId="14" fillId="6" borderId="24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164" fontId="16" fillId="0" borderId="0" xfId="0" applyNumberFormat="1" applyFont="1" applyAlignment="1">
      <alignment horizontal="right" vertical="center"/>
    </xf>
    <xf numFmtId="0" fontId="15" fillId="6" borderId="25" xfId="0" applyFont="1" applyFill="1" applyBorder="1" applyAlignment="1">
      <alignment horizontal="center" vertical="center" wrapText="1"/>
    </xf>
    <xf numFmtId="0" fontId="14" fillId="16" borderId="15" xfId="0" applyFont="1" applyFill="1" applyBorder="1" applyAlignment="1">
      <alignment horizontal="center" vertical="center" wrapText="1"/>
    </xf>
    <xf numFmtId="0" fontId="3" fillId="16" borderId="16" xfId="0" applyFont="1" applyFill="1" applyBorder="1" applyAlignment="1">
      <alignment horizontal="center" vertical="center" wrapText="1"/>
    </xf>
    <xf numFmtId="0" fontId="15" fillId="16" borderId="16" xfId="0" applyFont="1" applyFill="1" applyBorder="1" applyAlignment="1">
      <alignment horizontal="center" vertical="center" wrapText="1"/>
    </xf>
    <xf numFmtId="164" fontId="8" fillId="17" borderId="25" xfId="0" applyNumberFormat="1" applyFont="1" applyFill="1" applyBorder="1" applyAlignment="1">
      <alignment horizontal="right" vertical="center" wrapText="1"/>
    </xf>
    <xf numFmtId="0" fontId="1" fillId="6" borderId="25" xfId="0" applyFont="1" applyFill="1" applyBorder="1" applyAlignment="1">
      <alignment vertical="center" wrapText="1"/>
    </xf>
    <xf numFmtId="164" fontId="16" fillId="0" borderId="25" xfId="0" applyNumberFormat="1" applyFont="1" applyBorder="1" applyAlignment="1">
      <alignment horizontal="right"/>
    </xf>
    <xf numFmtId="0" fontId="1" fillId="6" borderId="25" xfId="0" applyFont="1" applyFill="1" applyBorder="1" applyAlignment="1">
      <alignment vertical="center" wrapText="1"/>
    </xf>
    <xf numFmtId="164" fontId="16" fillId="0" borderId="27" xfId="0" applyNumberFormat="1" applyFont="1" applyBorder="1" applyAlignment="1">
      <alignment horizontal="right"/>
    </xf>
    <xf numFmtId="0" fontId="14" fillId="0" borderId="25" xfId="0" applyFont="1" applyBorder="1" applyAlignment="1">
      <alignment horizontal="center" vertical="center"/>
    </xf>
    <xf numFmtId="0" fontId="8" fillId="6" borderId="25" xfId="0" applyFont="1" applyFill="1" applyBorder="1" applyAlignment="1">
      <alignment vertical="center" wrapText="1"/>
    </xf>
    <xf numFmtId="164" fontId="15" fillId="0" borderId="27" xfId="0" applyNumberFormat="1" applyFont="1" applyBorder="1" applyAlignment="1">
      <alignment horizontal="right"/>
    </xf>
    <xf numFmtId="164" fontId="15" fillId="0" borderId="27" xfId="0" applyNumberFormat="1" applyFont="1" applyBorder="1" applyAlignment="1">
      <alignment horizontal="right"/>
    </xf>
    <xf numFmtId="0" fontId="23" fillId="6" borderId="25" xfId="0" applyFont="1" applyFill="1" applyBorder="1" applyAlignment="1">
      <alignment vertical="center" wrapText="1"/>
    </xf>
    <xf numFmtId="0" fontId="4" fillId="17" borderId="16" xfId="0" applyFont="1" applyFill="1" applyBorder="1" applyAlignment="1">
      <alignment horizontal="center" vertical="center"/>
    </xf>
    <xf numFmtId="0" fontId="14" fillId="13" borderId="29" xfId="0" applyFont="1" applyFill="1" applyBorder="1" applyAlignment="1">
      <alignment horizontal="center" vertical="center" wrapText="1"/>
    </xf>
    <xf numFmtId="0" fontId="3" fillId="13" borderId="30" xfId="0" applyFont="1" applyFill="1" applyBorder="1" applyAlignment="1">
      <alignment horizontal="center" vertical="center" wrapText="1"/>
    </xf>
    <xf numFmtId="0" fontId="15" fillId="13" borderId="30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5" xfId="0" applyFont="1" applyBorder="1" applyAlignment="1">
      <alignment vertical="center" wrapText="1"/>
    </xf>
    <xf numFmtId="0" fontId="19" fillId="0" borderId="25" xfId="0" applyFont="1" applyBorder="1"/>
    <xf numFmtId="164" fontId="15" fillId="13" borderId="25" xfId="0" applyNumberFormat="1" applyFont="1" applyFill="1" applyBorder="1" applyAlignment="1">
      <alignment horizontal="right" vertical="center" wrapText="1"/>
    </xf>
    <xf numFmtId="0" fontId="15" fillId="6" borderId="24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vertical="center" wrapText="1"/>
    </xf>
    <xf numFmtId="0" fontId="10" fillId="16" borderId="29" xfId="0" applyFont="1" applyFill="1" applyBorder="1" applyAlignment="1">
      <alignment horizontal="center" vertical="center" wrapText="1"/>
    </xf>
    <xf numFmtId="0" fontId="4" fillId="16" borderId="30" xfId="0" applyFont="1" applyFill="1" applyBorder="1" applyAlignment="1">
      <alignment horizontal="center" vertical="center"/>
    </xf>
    <xf numFmtId="0" fontId="10" fillId="16" borderId="15" xfId="0" applyFont="1" applyFill="1" applyBorder="1" applyAlignment="1">
      <alignment horizontal="center" vertical="center" wrapText="1"/>
    </xf>
    <xf numFmtId="0" fontId="4" fillId="16" borderId="16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164" fontId="1" fillId="15" borderId="25" xfId="0" applyNumberFormat="1" applyFont="1" applyFill="1" applyBorder="1" applyAlignment="1">
      <alignment horizontal="right" vertical="center" wrapText="1"/>
    </xf>
    <xf numFmtId="164" fontId="16" fillId="15" borderId="25" xfId="0" applyNumberFormat="1" applyFont="1" applyFill="1" applyBorder="1" applyAlignment="1">
      <alignment horizontal="right" vertical="center" wrapText="1"/>
    </xf>
    <xf numFmtId="10" fontId="16" fillId="15" borderId="25" xfId="0" applyNumberFormat="1" applyFont="1" applyFill="1" applyBorder="1" applyAlignment="1">
      <alignment horizontal="right" vertical="center"/>
    </xf>
    <xf numFmtId="10" fontId="16" fillId="17" borderId="25" xfId="0" applyNumberFormat="1" applyFont="1" applyFill="1" applyBorder="1" applyAlignment="1">
      <alignment horizontal="right" vertical="center"/>
    </xf>
    <xf numFmtId="164" fontId="17" fillId="9" borderId="26" xfId="0" applyNumberFormat="1" applyFont="1" applyFill="1" applyBorder="1" applyAlignment="1">
      <alignment horizontal="right" vertical="center" wrapText="1"/>
    </xf>
    <xf numFmtId="164" fontId="25" fillId="13" borderId="25" xfId="0" applyNumberFormat="1" applyFont="1" applyFill="1" applyBorder="1"/>
    <xf numFmtId="164" fontId="15" fillId="9" borderId="26" xfId="0" applyNumberFormat="1" applyFont="1" applyFill="1" applyBorder="1" applyAlignment="1">
      <alignment horizontal="right" vertical="center" wrapText="1"/>
    </xf>
    <xf numFmtId="164" fontId="26" fillId="0" borderId="25" xfId="0" applyNumberFormat="1" applyFont="1" applyBorder="1" applyAlignment="1"/>
    <xf numFmtId="164" fontId="25" fillId="0" borderId="25" xfId="0" applyNumberFormat="1" applyFont="1" applyBorder="1"/>
    <xf numFmtId="164" fontId="1" fillId="15" borderId="25" xfId="0" applyNumberFormat="1" applyFont="1" applyFill="1" applyBorder="1" applyAlignment="1">
      <alignment horizontal="right" vertical="center"/>
    </xf>
    <xf numFmtId="0" fontId="10" fillId="14" borderId="24" xfId="0" applyFont="1" applyFill="1" applyBorder="1" applyAlignment="1">
      <alignment horizontal="center" vertical="center" wrapText="1"/>
    </xf>
    <xf numFmtId="0" fontId="4" fillId="14" borderId="24" xfId="0" applyFont="1" applyFill="1" applyBorder="1" applyAlignment="1">
      <alignment horizontal="center" vertical="center"/>
    </xf>
    <xf numFmtId="164" fontId="15" fillId="16" borderId="17" xfId="0" applyNumberFormat="1" applyFont="1" applyFill="1" applyBorder="1" applyAlignment="1">
      <alignment horizontal="right" vertical="center" wrapText="1"/>
    </xf>
    <xf numFmtId="164" fontId="15" fillId="16" borderId="25" xfId="0" applyNumberFormat="1" applyFont="1" applyFill="1" applyBorder="1" applyAlignment="1">
      <alignment horizontal="right" vertical="center" wrapText="1"/>
    </xf>
    <xf numFmtId="10" fontId="16" fillId="16" borderId="25" xfId="0" applyNumberFormat="1" applyFont="1" applyFill="1" applyBorder="1" applyAlignment="1">
      <alignment horizontal="right" vertical="center" wrapText="1"/>
    </xf>
    <xf numFmtId="10" fontId="16" fillId="16" borderId="25" xfId="0" applyNumberFormat="1" applyFont="1" applyFill="1" applyBorder="1" applyAlignment="1">
      <alignment horizontal="right" vertical="center"/>
    </xf>
    <xf numFmtId="164" fontId="1" fillId="14" borderId="25" xfId="0" applyNumberFormat="1" applyFont="1" applyFill="1" applyBorder="1" applyAlignment="1">
      <alignment horizontal="right" vertical="center"/>
    </xf>
    <xf numFmtId="0" fontId="13" fillId="0" borderId="40" xfId="0" applyFont="1" applyBorder="1" applyAlignment="1">
      <alignment vertical="center"/>
    </xf>
    <xf numFmtId="0" fontId="13" fillId="12" borderId="40" xfId="0" applyFont="1" applyFill="1" applyBorder="1" applyAlignment="1">
      <alignment vertical="center"/>
    </xf>
    <xf numFmtId="164" fontId="20" fillId="6" borderId="25" xfId="0" applyNumberFormat="1" applyFont="1" applyFill="1" applyBorder="1" applyAlignment="1">
      <alignment horizontal="right" vertical="center"/>
    </xf>
    <xf numFmtId="164" fontId="27" fillId="6" borderId="25" xfId="0" applyNumberFormat="1" applyFont="1" applyFill="1" applyBorder="1" applyAlignment="1">
      <alignment horizontal="right" vertical="center"/>
    </xf>
    <xf numFmtId="0" fontId="3" fillId="0" borderId="25" xfId="0" applyFont="1" applyBorder="1" applyAlignment="1">
      <alignment horizontal="center" vertical="center"/>
    </xf>
    <xf numFmtId="0" fontId="1" fillId="0" borderId="25" xfId="0" applyFont="1" applyBorder="1" applyAlignment="1">
      <alignment horizontal="left" vertical="center" wrapText="1"/>
    </xf>
    <xf numFmtId="164" fontId="15" fillId="6" borderId="25" xfId="0" applyNumberFormat="1" applyFont="1" applyFill="1" applyBorder="1" applyAlignment="1">
      <alignment horizontal="righ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25" xfId="0" applyFont="1" applyBorder="1" applyAlignment="1">
      <alignment vertical="center" wrapText="1"/>
    </xf>
    <xf numFmtId="0" fontId="28" fillId="17" borderId="15" xfId="0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horizontal="left" vertical="center" wrapText="1"/>
    </xf>
    <xf numFmtId="0" fontId="29" fillId="15" borderId="39" xfId="0" applyFont="1" applyFill="1" applyBorder="1" applyAlignment="1">
      <alignment horizontal="center" vertical="center" wrapText="1"/>
    </xf>
    <xf numFmtId="0" fontId="1" fillId="17" borderId="17" xfId="0" applyFont="1" applyFill="1" applyBorder="1" applyAlignment="1">
      <alignment vertical="center" wrapText="1"/>
    </xf>
    <xf numFmtId="164" fontId="1" fillId="6" borderId="25" xfId="0" applyNumberFormat="1" applyFont="1" applyFill="1" applyBorder="1" applyAlignment="1">
      <alignment horizontal="right" vertical="center"/>
    </xf>
    <xf numFmtId="164" fontId="1" fillId="17" borderId="17" xfId="0" applyNumberFormat="1" applyFont="1" applyFill="1" applyBorder="1" applyAlignment="1">
      <alignment horizontal="right" vertical="center" wrapText="1"/>
    </xf>
    <xf numFmtId="164" fontId="1" fillId="17" borderId="25" xfId="0" applyNumberFormat="1" applyFont="1" applyFill="1" applyBorder="1" applyAlignment="1">
      <alignment horizontal="right" vertical="center" wrapText="1"/>
    </xf>
    <xf numFmtId="0" fontId="16" fillId="6" borderId="17" xfId="0" applyFont="1" applyFill="1" applyBorder="1" applyAlignment="1">
      <alignment vertical="center" wrapText="1"/>
    </xf>
    <xf numFmtId="164" fontId="16" fillId="9" borderId="17" xfId="0" applyNumberFormat="1" applyFont="1" applyFill="1" applyBorder="1" applyAlignment="1">
      <alignment horizontal="right" vertical="center" wrapText="1"/>
    </xf>
    <xf numFmtId="0" fontId="30" fillId="0" borderId="25" xfId="0" applyFont="1" applyBorder="1" applyAlignment="1">
      <alignment horizontal="center"/>
    </xf>
    <xf numFmtId="164" fontId="31" fillId="14" borderId="25" xfId="0" applyNumberFormat="1" applyFont="1" applyFill="1" applyBorder="1" applyAlignment="1">
      <alignment horizontal="right" vertical="center"/>
    </xf>
    <xf numFmtId="0" fontId="14" fillId="0" borderId="17" xfId="0" applyFont="1" applyBorder="1" applyAlignment="1">
      <alignment horizontal="center" vertical="center"/>
    </xf>
    <xf numFmtId="164" fontId="16" fillId="6" borderId="25" xfId="0" applyNumberFormat="1" applyFont="1" applyFill="1" applyBorder="1" applyAlignment="1">
      <alignment horizontal="right" vertical="center"/>
    </xf>
    <xf numFmtId="0" fontId="15" fillId="0" borderId="25" xfId="0" applyFont="1" applyBorder="1" applyAlignment="1">
      <alignment horizontal="left" vertical="center" wrapText="1"/>
    </xf>
    <xf numFmtId="164" fontId="16" fillId="9" borderId="26" xfId="0" applyNumberFormat="1" applyFont="1" applyFill="1" applyBorder="1" applyAlignment="1">
      <alignment horizontal="right" vertical="center" wrapText="1"/>
    </xf>
    <xf numFmtId="0" fontId="16" fillId="6" borderId="25" xfId="0" applyFont="1" applyFill="1" applyBorder="1" applyAlignment="1">
      <alignment vertical="center"/>
    </xf>
    <xf numFmtId="0" fontId="19" fillId="0" borderId="24" xfId="0" applyFont="1" applyBorder="1" applyAlignment="1">
      <alignment horizontal="center"/>
    </xf>
    <xf numFmtId="0" fontId="16" fillId="6" borderId="24" xfId="0" applyFont="1" applyFill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3" fillId="0" borderId="16" xfId="0" applyFont="1" applyBorder="1" applyAlignment="1">
      <alignment vertical="center"/>
    </xf>
    <xf numFmtId="0" fontId="12" fillId="12" borderId="16" xfId="0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166" fontId="16" fillId="0" borderId="25" xfId="0" applyNumberFormat="1" applyFont="1" applyBorder="1" applyAlignment="1">
      <alignment horizontal="left" vertical="center" wrapText="1"/>
    </xf>
    <xf numFmtId="166" fontId="16" fillId="0" borderId="24" xfId="0" applyNumberFormat="1" applyFont="1" applyBorder="1" applyAlignment="1">
      <alignment horizontal="left" vertical="center" wrapText="1"/>
    </xf>
    <xf numFmtId="164" fontId="12" fillId="12" borderId="17" xfId="0" applyNumberFormat="1" applyFont="1" applyFill="1" applyBorder="1" applyAlignment="1">
      <alignment horizontal="right" vertical="center"/>
    </xf>
    <xf numFmtId="164" fontId="12" fillId="12" borderId="25" xfId="0" applyNumberFormat="1" applyFont="1" applyFill="1" applyBorder="1" applyAlignment="1">
      <alignment horizontal="right" vertical="center"/>
    </xf>
    <xf numFmtId="164" fontId="8" fillId="12" borderId="25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center" vertical="center" wrapText="1"/>
    </xf>
    <xf numFmtId="166" fontId="1" fillId="18" borderId="27" xfId="0" applyNumberFormat="1" applyFont="1" applyFill="1" applyBorder="1" applyAlignment="1">
      <alignment horizontal="right" vertical="center" wrapText="1"/>
    </xf>
    <xf numFmtId="164" fontId="8" fillId="18" borderId="25" xfId="0" applyNumberFormat="1" applyFont="1" applyFill="1" applyBorder="1" applyAlignment="1">
      <alignment horizontal="center" vertical="center" wrapText="1"/>
    </xf>
    <xf numFmtId="164" fontId="1" fillId="18" borderId="25" xfId="0" applyNumberFormat="1" applyFont="1" applyFill="1" applyBorder="1" applyAlignment="1">
      <alignment horizontal="center" vertical="center" wrapText="1"/>
    </xf>
    <xf numFmtId="164" fontId="1" fillId="18" borderId="25" xfId="0" applyNumberFormat="1" applyFont="1" applyFill="1" applyBorder="1" applyAlignment="1">
      <alignment horizontal="right" vertical="center" wrapText="1"/>
    </xf>
    <xf numFmtId="164" fontId="8" fillId="18" borderId="25" xfId="0" applyNumberFormat="1" applyFont="1" applyFill="1" applyBorder="1" applyAlignment="1">
      <alignment horizontal="right" vertical="center" wrapText="1"/>
    </xf>
    <xf numFmtId="164" fontId="8" fillId="18" borderId="25" xfId="0" applyNumberFormat="1" applyFont="1" applyFill="1" applyBorder="1" applyAlignment="1">
      <alignment horizontal="center" vertical="center"/>
    </xf>
    <xf numFmtId="164" fontId="1" fillId="18" borderId="25" xfId="0" applyNumberFormat="1" applyFont="1" applyFill="1" applyBorder="1" applyAlignment="1">
      <alignment horizontal="center" vertical="center"/>
    </xf>
    <xf numFmtId="164" fontId="16" fillId="18" borderId="25" xfId="0" applyNumberFormat="1" applyFont="1" applyFill="1" applyBorder="1" applyAlignment="1">
      <alignment horizontal="center" vertical="center"/>
    </xf>
    <xf numFmtId="164" fontId="8" fillId="18" borderId="25" xfId="0" applyNumberFormat="1" applyFont="1" applyFill="1" applyBorder="1" applyAlignment="1">
      <alignment horizontal="right" vertical="center"/>
    </xf>
    <xf numFmtId="10" fontId="1" fillId="14" borderId="43" xfId="0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 wrapText="1"/>
    </xf>
    <xf numFmtId="167" fontId="3" fillId="0" borderId="0" xfId="0" applyNumberFormat="1" applyFont="1" applyAlignment="1">
      <alignment vertical="center"/>
    </xf>
    <xf numFmtId="167" fontId="15" fillId="0" borderId="0" xfId="0" applyNumberFormat="1" applyFont="1" applyAlignment="1">
      <alignment vertical="center"/>
    </xf>
    <xf numFmtId="0" fontId="1" fillId="9" borderId="25" xfId="0" applyFont="1" applyFill="1" applyBorder="1" applyAlignment="1">
      <alignment horizontal="right" vertical="center"/>
    </xf>
    <xf numFmtId="164" fontId="1" fillId="9" borderId="25" xfId="0" applyNumberFormat="1" applyFont="1" applyFill="1" applyBorder="1" applyAlignment="1">
      <alignment horizontal="right" vertical="center"/>
    </xf>
    <xf numFmtId="0" fontId="1" fillId="23" borderId="25" xfId="0" applyFont="1" applyFill="1" applyBorder="1" applyAlignment="1">
      <alignment horizontal="right" vertical="center"/>
    </xf>
    <xf numFmtId="10" fontId="1" fillId="14" borderId="4" xfId="0" applyNumberFormat="1" applyFont="1" applyFill="1" applyBorder="1" applyAlignment="1">
      <alignment horizontal="right" vertical="center"/>
    </xf>
    <xf numFmtId="164" fontId="1" fillId="4" borderId="25" xfId="0" applyNumberFormat="1" applyFont="1" applyFill="1" applyBorder="1" applyAlignment="1">
      <alignment horizontal="right" vertical="center"/>
    </xf>
    <xf numFmtId="164" fontId="1" fillId="4" borderId="25" xfId="0" applyNumberFormat="1" applyFont="1" applyFill="1" applyBorder="1" applyAlignment="1">
      <alignment horizontal="right" vertical="center" wrapText="1"/>
    </xf>
    <xf numFmtId="167" fontId="14" fillId="0" borderId="0" xfId="0" applyNumberFormat="1" applyFont="1" applyAlignment="1">
      <alignment horizontal="center" vertical="center" wrapText="1"/>
    </xf>
    <xf numFmtId="164" fontId="8" fillId="4" borderId="25" xfId="0" applyNumberFormat="1" applyFont="1" applyFill="1" applyBorder="1" applyAlignment="1">
      <alignment horizontal="right" vertical="center"/>
    </xf>
    <xf numFmtId="164" fontId="8" fillId="24" borderId="25" xfId="0" applyNumberFormat="1" applyFont="1" applyFill="1" applyBorder="1" applyAlignment="1">
      <alignment horizontal="right" vertical="center"/>
    </xf>
    <xf numFmtId="164" fontId="1" fillId="24" borderId="25" xfId="0" applyNumberFormat="1" applyFont="1" applyFill="1" applyBorder="1" applyAlignment="1">
      <alignment horizontal="right" vertical="center"/>
    </xf>
    <xf numFmtId="164" fontId="16" fillId="24" borderId="25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10" fontId="1" fillId="14" borderId="1" xfId="0" applyNumberFormat="1" applyFont="1" applyFill="1" applyBorder="1" applyAlignment="1">
      <alignment horizontal="right" vertical="center"/>
    </xf>
    <xf numFmtId="164" fontId="19" fillId="0" borderId="0" xfId="0" applyNumberFormat="1" applyFont="1"/>
    <xf numFmtId="164" fontId="1" fillId="6" borderId="44" xfId="0" applyNumberFormat="1" applyFont="1" applyFill="1" applyBorder="1" applyAlignment="1">
      <alignment horizontal="right" vertical="center"/>
    </xf>
    <xf numFmtId="164" fontId="16" fillId="14" borderId="45" xfId="0" applyNumberFormat="1" applyFont="1" applyFill="1" applyBorder="1" applyAlignment="1">
      <alignment horizontal="right" vertical="center"/>
    </xf>
    <xf numFmtId="164" fontId="16" fillId="14" borderId="4" xfId="0" applyNumberFormat="1" applyFont="1" applyFill="1" applyBorder="1" applyAlignment="1">
      <alignment horizontal="right" vertical="center"/>
    </xf>
    <xf numFmtId="0" fontId="1" fillId="19" borderId="25" xfId="0" applyFont="1" applyFill="1" applyBorder="1" applyAlignment="1">
      <alignment horizontal="right" vertical="center"/>
    </xf>
    <xf numFmtId="164" fontId="8" fillId="19" borderId="25" xfId="0" applyNumberFormat="1" applyFont="1" applyFill="1" applyBorder="1" applyAlignment="1">
      <alignment horizontal="right" vertical="center"/>
    </xf>
    <xf numFmtId="164" fontId="1" fillId="19" borderId="25" xfId="0" applyNumberFormat="1" applyFont="1" applyFill="1" applyBorder="1" applyAlignment="1">
      <alignment horizontal="right" vertical="center"/>
    </xf>
    <xf numFmtId="10" fontId="1" fillId="19" borderId="25" xfId="0" applyNumberFormat="1" applyFont="1" applyFill="1" applyBorder="1" applyAlignment="1">
      <alignment horizontal="right" vertical="center"/>
    </xf>
    <xf numFmtId="164" fontId="1" fillId="14" borderId="3" xfId="0" applyNumberFormat="1" applyFont="1" applyFill="1" applyBorder="1" applyAlignment="1">
      <alignment horizontal="right" vertical="center"/>
    </xf>
    <xf numFmtId="164" fontId="1" fillId="14" borderId="4" xfId="0" applyNumberFormat="1" applyFont="1" applyFill="1" applyBorder="1" applyAlignment="1">
      <alignment horizontal="right" vertical="center"/>
    </xf>
    <xf numFmtId="164" fontId="8" fillId="14" borderId="4" xfId="0" applyNumberFormat="1" applyFont="1" applyFill="1" applyBorder="1" applyAlignment="1">
      <alignment horizontal="right" vertical="center"/>
    </xf>
    <xf numFmtId="164" fontId="16" fillId="8" borderId="25" xfId="0" applyNumberFormat="1" applyFont="1" applyFill="1" applyBorder="1" applyAlignment="1">
      <alignment horizontal="center" vertical="center"/>
    </xf>
    <xf numFmtId="10" fontId="8" fillId="8" borderId="25" xfId="0" applyNumberFormat="1" applyFont="1" applyFill="1" applyBorder="1" applyAlignment="1">
      <alignment horizontal="right" vertical="center"/>
    </xf>
    <xf numFmtId="164" fontId="8" fillId="14" borderId="4" xfId="0" applyNumberFormat="1" applyFont="1" applyFill="1" applyBorder="1" applyAlignment="1">
      <alignment horizontal="right" vertical="center"/>
    </xf>
    <xf numFmtId="0" fontId="1" fillId="26" borderId="25" xfId="0" applyFont="1" applyFill="1" applyBorder="1" applyAlignment="1">
      <alignment horizontal="center"/>
    </xf>
    <xf numFmtId="164" fontId="1" fillId="26" borderId="15" xfId="0" applyNumberFormat="1" applyFont="1" applyFill="1" applyBorder="1" applyAlignment="1">
      <alignment horizontal="center" vertical="center"/>
    </xf>
    <xf numFmtId="164" fontId="1" fillId="26" borderId="25" xfId="0" applyNumberFormat="1" applyFont="1" applyFill="1" applyBorder="1" applyAlignment="1">
      <alignment horizontal="center" vertical="center"/>
    </xf>
    <xf numFmtId="164" fontId="1" fillId="6" borderId="25" xfId="0" applyNumberFormat="1" applyFont="1" applyFill="1" applyBorder="1" applyAlignment="1">
      <alignment horizontal="right" vertical="center"/>
    </xf>
    <xf numFmtId="164" fontId="1" fillId="6" borderId="25" xfId="0" applyNumberFormat="1" applyFont="1" applyFill="1" applyBorder="1" applyAlignment="1">
      <alignment horizontal="center" vertical="center"/>
    </xf>
    <xf numFmtId="164" fontId="1" fillId="14" borderId="25" xfId="0" applyNumberFormat="1" applyFont="1" applyFill="1" applyBorder="1" applyAlignment="1">
      <alignment horizontal="center" vertical="center"/>
    </xf>
    <xf numFmtId="164" fontId="1" fillId="6" borderId="25" xfId="0" applyNumberFormat="1" applyFont="1" applyFill="1" applyBorder="1" applyAlignment="1">
      <alignment horizontal="center" vertical="center"/>
    </xf>
    <xf numFmtId="164" fontId="1" fillId="14" borderId="2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2" borderId="25" xfId="0" applyFont="1" applyFill="1" applyBorder="1" applyAlignment="1">
      <alignment horizontal="right" vertical="center"/>
    </xf>
    <xf numFmtId="164" fontId="8" fillId="2" borderId="25" xfId="0" applyNumberFormat="1" applyFont="1" applyFill="1" applyBorder="1" applyAlignment="1">
      <alignment horizontal="right" vertical="center"/>
    </xf>
    <xf numFmtId="164" fontId="1" fillId="2" borderId="25" xfId="0" applyNumberFormat="1" applyFont="1" applyFill="1" applyBorder="1" applyAlignment="1">
      <alignment horizontal="right" vertical="center"/>
    </xf>
    <xf numFmtId="10" fontId="1" fillId="2" borderId="25" xfId="0" applyNumberFormat="1" applyFont="1" applyFill="1" applyBorder="1" applyAlignment="1">
      <alignment horizontal="right" vertical="center"/>
    </xf>
    <xf numFmtId="164" fontId="15" fillId="0" borderId="0" xfId="0" applyNumberFormat="1" applyFont="1" applyAlignment="1">
      <alignment horizontal="right" vertical="center"/>
    </xf>
    <xf numFmtId="10" fontId="16" fillId="0" borderId="0" xfId="0" applyNumberFormat="1" applyFont="1" applyAlignment="1">
      <alignment horizontal="right" vertical="center"/>
    </xf>
    <xf numFmtId="164" fontId="1" fillId="0" borderId="25" xfId="0" applyNumberFormat="1" applyFont="1" applyBorder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/>
    </xf>
    <xf numFmtId="164" fontId="15" fillId="2" borderId="25" xfId="0" applyNumberFormat="1" applyFont="1" applyFill="1" applyBorder="1" applyAlignment="1">
      <alignment horizontal="right" vertical="center"/>
    </xf>
    <xf numFmtId="0" fontId="16" fillId="2" borderId="25" xfId="0" applyFont="1" applyFill="1" applyBorder="1" applyAlignment="1">
      <alignment horizontal="right" vertical="center"/>
    </xf>
    <xf numFmtId="164" fontId="1" fillId="0" borderId="25" xfId="0" applyNumberFormat="1" applyFont="1" applyBorder="1" applyAlignment="1">
      <alignment horizontal="right" vertical="center"/>
    </xf>
    <xf numFmtId="10" fontId="8" fillId="18" borderId="25" xfId="0" applyNumberFormat="1" applyFont="1" applyFill="1" applyBorder="1" applyAlignment="1">
      <alignment horizontal="right" vertical="center"/>
    </xf>
    <xf numFmtId="10" fontId="1" fillId="18" borderId="25" xfId="0" applyNumberFormat="1" applyFont="1" applyFill="1" applyBorder="1" applyAlignment="1">
      <alignment horizontal="right" vertical="center"/>
    </xf>
    <xf numFmtId="0" fontId="4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vertical="center"/>
    </xf>
    <xf numFmtId="0" fontId="15" fillId="6" borderId="4" xfId="0" applyFont="1" applyFill="1" applyBorder="1" applyAlignment="1">
      <alignment vertical="center"/>
    </xf>
    <xf numFmtId="0" fontId="16" fillId="6" borderId="4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16" fillId="0" borderId="0" xfId="0" applyNumberFormat="1" applyFont="1" applyAlignment="1">
      <alignment horizontal="right" vertical="center"/>
    </xf>
    <xf numFmtId="0" fontId="15" fillId="6" borderId="45" xfId="0" applyFont="1" applyFill="1" applyBorder="1" applyAlignment="1">
      <alignment vertical="center"/>
    </xf>
    <xf numFmtId="0" fontId="16" fillId="6" borderId="45" xfId="0" applyFont="1" applyFill="1" applyBorder="1" applyAlignment="1">
      <alignment vertical="center"/>
    </xf>
    <xf numFmtId="164" fontId="1" fillId="27" borderId="25" xfId="0" applyNumberFormat="1" applyFont="1" applyFill="1" applyBorder="1" applyAlignment="1">
      <alignment horizontal="right" vertical="center"/>
    </xf>
    <xf numFmtId="164" fontId="16" fillId="14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0" fillId="0" borderId="0" xfId="0" applyFont="1"/>
    <xf numFmtId="164" fontId="3" fillId="0" borderId="0" xfId="0" applyNumberFormat="1" applyFont="1" applyAlignment="1">
      <alignment vertical="center"/>
    </xf>
    <xf numFmtId="164" fontId="1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0" fontId="3" fillId="0" borderId="0" xfId="0" applyNumberFormat="1" applyFont="1" applyAlignment="1">
      <alignment horizontal="right" vertical="center"/>
    </xf>
    <xf numFmtId="164" fontId="3" fillId="14" borderId="43" xfId="0" applyNumberFormat="1" applyFont="1" applyFill="1" applyBorder="1" applyAlignment="1">
      <alignment horizontal="right" vertical="center"/>
    </xf>
    <xf numFmtId="164" fontId="3" fillId="14" borderId="4" xfId="0" applyNumberFormat="1" applyFont="1" applyFill="1" applyBorder="1" applyAlignment="1">
      <alignment horizontal="right" vertical="center"/>
    </xf>
    <xf numFmtId="164" fontId="3" fillId="14" borderId="45" xfId="0" applyNumberFormat="1" applyFont="1" applyFill="1" applyBorder="1" applyAlignment="1">
      <alignment horizontal="right" vertical="center"/>
    </xf>
    <xf numFmtId="0" fontId="3" fillId="13" borderId="15" xfId="0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vertical="center"/>
    </xf>
    <xf numFmtId="0" fontId="30" fillId="13" borderId="16" xfId="0" applyFont="1" applyFill="1" applyBorder="1"/>
    <xf numFmtId="0" fontId="1" fillId="13" borderId="17" xfId="0" applyFont="1" applyFill="1" applyBorder="1" applyAlignment="1"/>
    <xf numFmtId="164" fontId="3" fillId="13" borderId="25" xfId="0" applyNumberFormat="1" applyFont="1" applyFill="1" applyBorder="1" applyAlignment="1">
      <alignment vertical="center"/>
    </xf>
    <xf numFmtId="0" fontId="3" fillId="13" borderId="25" xfId="0" applyFont="1" applyFill="1" applyBorder="1" applyAlignment="1">
      <alignment horizontal="right" vertical="center"/>
    </xf>
    <xf numFmtId="164" fontId="14" fillId="13" borderId="25" xfId="0" applyNumberFormat="1" applyFont="1" applyFill="1" applyBorder="1" applyAlignment="1">
      <alignment vertical="center"/>
    </xf>
    <xf numFmtId="164" fontId="14" fillId="13" borderId="25" xfId="0" applyNumberFormat="1" applyFont="1" applyFill="1" applyBorder="1" applyAlignment="1">
      <alignment horizontal="right" vertical="center"/>
    </xf>
    <xf numFmtId="0" fontId="3" fillId="13" borderId="15" xfId="0" applyFont="1" applyFill="1" applyBorder="1"/>
    <xf numFmtId="0" fontId="3" fillId="13" borderId="16" xfId="0" applyFont="1" applyFill="1" applyBorder="1"/>
    <xf numFmtId="0" fontId="3" fillId="13" borderId="16" xfId="0" applyFont="1" applyFill="1" applyBorder="1"/>
    <xf numFmtId="0" fontId="1" fillId="13" borderId="17" xfId="0" applyFont="1" applyFill="1" applyBorder="1" applyAlignment="1">
      <alignment wrapText="1"/>
    </xf>
    <xf numFmtId="164" fontId="16" fillId="13" borderId="17" xfId="0" applyNumberFormat="1" applyFont="1" applyFill="1" applyBorder="1" applyAlignment="1">
      <alignment horizontal="right" wrapText="1"/>
    </xf>
    <xf numFmtId="10" fontId="16" fillId="13" borderId="17" xfId="0" applyNumberFormat="1" applyFont="1" applyFill="1" applyBorder="1" applyAlignment="1">
      <alignment horizontal="right" wrapText="1"/>
    </xf>
    <xf numFmtId="164" fontId="15" fillId="13" borderId="17" xfId="0" applyNumberFormat="1" applyFont="1" applyFill="1" applyBorder="1" applyAlignment="1">
      <alignment horizontal="right" wrapText="1"/>
    </xf>
    <xf numFmtId="10" fontId="16" fillId="13" borderId="17" xfId="0" applyNumberFormat="1" applyFont="1" applyFill="1" applyBorder="1" applyAlignment="1">
      <alignment horizontal="right"/>
    </xf>
    <xf numFmtId="0" fontId="3" fillId="0" borderId="0" xfId="0" applyFont="1" applyAlignment="1"/>
    <xf numFmtId="0" fontId="14" fillId="0" borderId="0" xfId="0" applyFont="1" applyAlignment="1">
      <alignment vertical="center"/>
    </xf>
    <xf numFmtId="0" fontId="11" fillId="28" borderId="1" xfId="0" applyFont="1" applyFill="1" applyBorder="1" applyAlignment="1">
      <alignment horizontal="center"/>
    </xf>
    <xf numFmtId="0" fontId="11" fillId="28" borderId="3" xfId="0" applyFont="1" applyFill="1" applyBorder="1" applyAlignment="1">
      <alignment horizontal="center"/>
    </xf>
    <xf numFmtId="0" fontId="11" fillId="28" borderId="1" xfId="0" applyFont="1" applyFill="1" applyBorder="1" applyAlignment="1">
      <alignment horizontal="center"/>
    </xf>
    <xf numFmtId="0" fontId="19" fillId="29" borderId="0" xfId="0" applyFont="1" applyFill="1"/>
    <xf numFmtId="0" fontId="4" fillId="29" borderId="4" xfId="0" applyFont="1" applyFill="1" applyBorder="1"/>
    <xf numFmtId="168" fontId="4" fillId="29" borderId="4" xfId="0" applyNumberFormat="1" applyFont="1" applyFill="1" applyBorder="1" applyAlignment="1">
      <alignment horizontal="right"/>
    </xf>
    <xf numFmtId="165" fontId="4" fillId="29" borderId="4" xfId="0" applyNumberFormat="1" applyFont="1" applyFill="1" applyBorder="1" applyAlignment="1">
      <alignment horizontal="left"/>
    </xf>
    <xf numFmtId="0" fontId="4" fillId="29" borderId="4" xfId="0" applyFont="1" applyFill="1" applyBorder="1" applyAlignment="1">
      <alignment horizontal="left"/>
    </xf>
    <xf numFmtId="0" fontId="32" fillId="29" borderId="0" xfId="0" applyFont="1" applyFill="1"/>
    <xf numFmtId="0" fontId="3" fillId="29" borderId="4" xfId="0" applyFont="1" applyFill="1" applyBorder="1"/>
    <xf numFmtId="168" fontId="4" fillId="29" borderId="4" xfId="0" applyNumberFormat="1" applyFont="1" applyFill="1" applyBorder="1"/>
    <xf numFmtId="0" fontId="14" fillId="29" borderId="4" xfId="0" applyFont="1" applyFill="1" applyBorder="1"/>
    <xf numFmtId="0" fontId="14" fillId="29" borderId="4" xfId="0" applyFont="1" applyFill="1" applyBorder="1" applyAlignment="1">
      <alignment horizontal="right"/>
    </xf>
    <xf numFmtId="165" fontId="4" fillId="29" borderId="4" xfId="0" applyNumberFormat="1" applyFont="1" applyFill="1" applyBorder="1"/>
    <xf numFmtId="168" fontId="14" fillId="29" borderId="4" xfId="0" applyNumberFormat="1" applyFont="1" applyFill="1" applyBorder="1"/>
    <xf numFmtId="165" fontId="14" fillId="29" borderId="4" xfId="0" applyNumberFormat="1" applyFont="1" applyFill="1" applyBorder="1"/>
    <xf numFmtId="169" fontId="14" fillId="29" borderId="4" xfId="0" applyNumberFormat="1" applyFont="1" applyFill="1" applyBorder="1"/>
    <xf numFmtId="164" fontId="32" fillId="29" borderId="0" xfId="0" applyNumberFormat="1" applyFont="1" applyFill="1"/>
    <xf numFmtId="0" fontId="33" fillId="0" borderId="0" xfId="0" applyFont="1"/>
    <xf numFmtId="0" fontId="34" fillId="0" borderId="0" xfId="0" applyFont="1"/>
    <xf numFmtId="0" fontId="35" fillId="29" borderId="4" xfId="0" applyFont="1" applyFill="1" applyBorder="1"/>
    <xf numFmtId="0" fontId="4" fillId="5" borderId="1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/>
    <xf numFmtId="164" fontId="4" fillId="5" borderId="4" xfId="0" applyNumberFormat="1" applyFont="1" applyFill="1" applyBorder="1"/>
    <xf numFmtId="10" fontId="4" fillId="5" borderId="4" xfId="0" applyNumberFormat="1" applyFont="1" applyFill="1" applyBorder="1"/>
    <xf numFmtId="168" fontId="4" fillId="5" borderId="4" xfId="0" applyNumberFormat="1" applyFont="1" applyFill="1" applyBorder="1"/>
    <xf numFmtId="165" fontId="4" fillId="5" borderId="4" xfId="0" applyNumberFormat="1" applyFont="1" applyFill="1" applyBorder="1"/>
    <xf numFmtId="0" fontId="14" fillId="0" borderId="0" xfId="0" applyFont="1" applyAlignment="1"/>
    <xf numFmtId="0" fontId="10" fillId="5" borderId="0" xfId="0" applyFont="1" applyFill="1" applyAlignment="1"/>
    <xf numFmtId="0" fontId="10" fillId="5" borderId="0" xfId="0" applyFont="1" applyFill="1" applyAlignment="1">
      <alignment horizontal="center"/>
    </xf>
    <xf numFmtId="0" fontId="10" fillId="5" borderId="0" xfId="0" applyFont="1" applyFill="1" applyAlignment="1"/>
    <xf numFmtId="164" fontId="10" fillId="5" borderId="0" xfId="0" applyNumberFormat="1" applyFont="1" applyFill="1" applyAlignment="1"/>
    <xf numFmtId="0" fontId="14" fillId="5" borderId="0" xfId="0" applyFont="1" applyFill="1" applyAlignment="1"/>
    <xf numFmtId="0" fontId="14" fillId="5" borderId="0" xfId="0" applyFont="1" applyFill="1" applyAlignment="1">
      <alignment horizontal="left"/>
    </xf>
    <xf numFmtId="0" fontId="36" fillId="28" borderId="0" xfId="0" applyFont="1" applyFill="1" applyAlignment="1">
      <alignment horizontal="center"/>
    </xf>
    <xf numFmtId="0" fontId="19" fillId="5" borderId="0" xfId="0" applyFont="1" applyFill="1"/>
    <xf numFmtId="0" fontId="19" fillId="5" borderId="0" xfId="0" applyFont="1" applyFill="1" applyAlignment="1">
      <alignment horizontal="center"/>
    </xf>
    <xf numFmtId="0" fontId="19" fillId="5" borderId="0" xfId="0" applyFont="1" applyFill="1" applyAlignment="1">
      <alignment horizontal="left"/>
    </xf>
    <xf numFmtId="164" fontId="19" fillId="5" borderId="0" xfId="0" applyNumberFormat="1" applyFont="1" applyFill="1"/>
    <xf numFmtId="0" fontId="14" fillId="5" borderId="0" xfId="0" applyFont="1" applyFill="1" applyAlignment="1"/>
    <xf numFmtId="164" fontId="14" fillId="5" borderId="0" xfId="0" applyNumberFormat="1" applyFont="1" applyFill="1" applyAlignment="1"/>
    <xf numFmtId="0" fontId="10" fillId="5" borderId="0" xfId="0" applyFont="1" applyFill="1" applyAlignment="1"/>
    <xf numFmtId="164" fontId="32" fillId="5" borderId="0" xfId="0" applyNumberFormat="1" applyFont="1" applyFill="1" applyAlignment="1">
      <alignment horizontal="center"/>
    </xf>
    <xf numFmtId="164" fontId="14" fillId="5" borderId="0" xfId="0" applyNumberFormat="1" applyFont="1" applyFill="1" applyAlignment="1"/>
    <xf numFmtId="164" fontId="10" fillId="5" borderId="0" xfId="0" applyNumberFormat="1" applyFont="1" applyFill="1" applyAlignment="1"/>
    <xf numFmtId="164" fontId="10" fillId="5" borderId="0" xfId="0" applyNumberFormat="1" applyFont="1" applyFill="1" applyAlignment="1"/>
    <xf numFmtId="0" fontId="10" fillId="5" borderId="0" xfId="0" applyFont="1" applyFill="1" applyAlignment="1">
      <alignment wrapText="1"/>
    </xf>
    <xf numFmtId="44" fontId="16" fillId="0" borderId="25" xfId="1" applyFont="1" applyBorder="1" applyAlignment="1">
      <alignment horizontal="right" vertical="center"/>
    </xf>
    <xf numFmtId="44" fontId="16" fillId="6" borderId="25" xfId="1" applyFont="1" applyFill="1" applyBorder="1" applyAlignment="1">
      <alignment horizontal="right" vertical="center"/>
    </xf>
    <xf numFmtId="44" fontId="16" fillId="0" borderId="25" xfId="1" applyFont="1" applyBorder="1" applyAlignment="1">
      <alignment horizontal="right" vertical="center" wrapText="1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164" fontId="8" fillId="8" borderId="15" xfId="0" applyNumberFormat="1" applyFont="1" applyFill="1" applyBorder="1" applyAlignment="1">
      <alignment horizontal="left" vertical="center"/>
    </xf>
    <xf numFmtId="0" fontId="2" fillId="0" borderId="17" xfId="0" applyFont="1" applyBorder="1"/>
    <xf numFmtId="164" fontId="1" fillId="14" borderId="15" xfId="0" applyNumberFormat="1" applyFont="1" applyFill="1" applyBorder="1" applyAlignment="1">
      <alignment horizontal="left" vertical="center"/>
    </xf>
    <xf numFmtId="164" fontId="1" fillId="20" borderId="15" xfId="0" applyNumberFormat="1" applyFont="1" applyFill="1" applyBorder="1" applyAlignment="1">
      <alignment horizontal="right" vertical="center"/>
    </xf>
    <xf numFmtId="0" fontId="2" fillId="0" borderId="16" xfId="0" applyFont="1" applyBorder="1"/>
    <xf numFmtId="164" fontId="1" fillId="21" borderId="15" xfId="0" applyNumberFormat="1" applyFont="1" applyFill="1" applyBorder="1" applyAlignment="1">
      <alignment horizontal="center" vertical="center"/>
    </xf>
    <xf numFmtId="164" fontId="1" fillId="22" borderId="15" xfId="0" applyNumberFormat="1" applyFont="1" applyFill="1" applyBorder="1" applyAlignment="1">
      <alignment horizontal="center" vertical="center"/>
    </xf>
    <xf numFmtId="0" fontId="1" fillId="26" borderId="15" xfId="0" applyFont="1" applyFill="1" applyBorder="1" applyAlignment="1">
      <alignment horizontal="center"/>
    </xf>
    <xf numFmtId="164" fontId="1" fillId="26" borderId="15" xfId="0" applyNumberFormat="1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right" vertical="center"/>
    </xf>
    <xf numFmtId="164" fontId="7" fillId="9" borderId="15" xfId="0" applyNumberFormat="1" applyFont="1" applyFill="1" applyBorder="1" applyAlignment="1">
      <alignment horizontal="center" vertical="center" wrapText="1"/>
    </xf>
    <xf numFmtId="165" fontId="1" fillId="18" borderId="15" xfId="0" applyNumberFormat="1" applyFont="1" applyFill="1" applyBorder="1" applyAlignment="1">
      <alignment horizontal="right" vertical="center"/>
    </xf>
    <xf numFmtId="164" fontId="1" fillId="18" borderId="15" xfId="0" applyNumberFormat="1" applyFont="1" applyFill="1" applyBorder="1" applyAlignment="1">
      <alignment horizontal="center" vertical="center"/>
    </xf>
    <xf numFmtId="164" fontId="1" fillId="19" borderId="15" xfId="0" applyNumberFormat="1" applyFont="1" applyFill="1" applyBorder="1" applyAlignment="1">
      <alignment horizontal="center" vertical="center"/>
    </xf>
    <xf numFmtId="164" fontId="1" fillId="10" borderId="24" xfId="0" applyNumberFormat="1" applyFont="1" applyFill="1" applyBorder="1" applyAlignment="1">
      <alignment horizontal="center" vertical="center" wrapText="1"/>
    </xf>
    <xf numFmtId="0" fontId="2" fillId="0" borderId="27" xfId="0" applyFont="1" applyBorder="1"/>
    <xf numFmtId="164" fontId="1" fillId="10" borderId="21" xfId="0" applyNumberFormat="1" applyFont="1" applyFill="1" applyBorder="1" applyAlignment="1">
      <alignment horizontal="center" vertical="center"/>
    </xf>
    <xf numFmtId="0" fontId="2" fillId="0" borderId="22" xfId="0" applyFont="1" applyBorder="1"/>
    <xf numFmtId="0" fontId="2" fillId="0" borderId="23" xfId="0" applyFont="1" applyBorder="1"/>
    <xf numFmtId="164" fontId="1" fillId="10" borderId="15" xfId="0" applyNumberFormat="1" applyFont="1" applyFill="1" applyBorder="1" applyAlignment="1">
      <alignment horizontal="center" vertical="center"/>
    </xf>
    <xf numFmtId="164" fontId="8" fillId="10" borderId="18" xfId="0" applyNumberFormat="1" applyFont="1" applyFill="1" applyBorder="1" applyAlignment="1">
      <alignment horizontal="center" vertical="center"/>
    </xf>
    <xf numFmtId="0" fontId="2" fillId="0" borderId="19" xfId="0" applyFont="1" applyBorder="1"/>
    <xf numFmtId="0" fontId="2" fillId="0" borderId="20" xfId="0" applyFont="1" applyBorder="1"/>
    <xf numFmtId="164" fontId="1" fillId="11" borderId="15" xfId="0" applyNumberFormat="1" applyFont="1" applyFill="1" applyBorder="1" applyAlignment="1">
      <alignment horizontal="center" vertical="center"/>
    </xf>
    <xf numFmtId="164" fontId="1" fillId="11" borderId="21" xfId="0" applyNumberFormat="1" applyFont="1" applyFill="1" applyBorder="1" applyAlignment="1">
      <alignment horizontal="center" vertical="center"/>
    </xf>
    <xf numFmtId="164" fontId="8" fillId="11" borderId="21" xfId="0" applyNumberFormat="1" applyFont="1" applyFill="1" applyBorder="1" applyAlignment="1">
      <alignment horizontal="center" vertical="center"/>
    </xf>
    <xf numFmtId="10" fontId="1" fillId="8" borderId="21" xfId="0" applyNumberFormat="1" applyFont="1" applyFill="1" applyBorder="1" applyAlignment="1">
      <alignment horizontal="right" vertical="center" wrapText="1"/>
    </xf>
    <xf numFmtId="164" fontId="8" fillId="18" borderId="15" xfId="0" applyNumberFormat="1" applyFont="1" applyFill="1" applyBorder="1" applyAlignment="1">
      <alignment horizontal="center" vertical="center"/>
    </xf>
    <xf numFmtId="164" fontId="12" fillId="20" borderId="15" xfId="0" applyNumberFormat="1" applyFont="1" applyFill="1" applyBorder="1" applyAlignment="1">
      <alignment horizontal="center" vertical="center"/>
    </xf>
    <xf numFmtId="164" fontId="1" fillId="25" borderId="15" xfId="0" applyNumberFormat="1" applyFont="1" applyFill="1" applyBorder="1" applyAlignment="1">
      <alignment horizontal="center" vertical="center"/>
    </xf>
    <xf numFmtId="164" fontId="1" fillId="27" borderId="15" xfId="0" applyNumberFormat="1" applyFont="1" applyFill="1" applyBorder="1" applyAlignment="1">
      <alignment horizontal="left" vertical="center"/>
    </xf>
    <xf numFmtId="164" fontId="8" fillId="18" borderId="15" xfId="0" applyNumberFormat="1" applyFont="1" applyFill="1" applyBorder="1" applyAlignment="1">
      <alignment horizontal="left" vertical="center"/>
    </xf>
    <xf numFmtId="164" fontId="1" fillId="19" borderId="15" xfId="0" applyNumberFormat="1" applyFont="1" applyFill="1" applyBorder="1" applyAlignment="1">
      <alignment horizontal="left" vertical="center"/>
    </xf>
    <xf numFmtId="0" fontId="11" fillId="28" borderId="0" xfId="0" applyFont="1" applyFill="1" applyAlignment="1">
      <alignment horizontal="center"/>
    </xf>
    <xf numFmtId="0" fontId="0" fillId="0" borderId="0" xfId="0" applyFont="1" applyAlignment="1"/>
    <xf numFmtId="0" fontId="11" fillId="28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44" fontId="4" fillId="29" borderId="4" xfId="1" applyFont="1" applyFill="1" applyBorder="1" applyAlignment="1">
      <alignment horizontal="right"/>
    </xf>
  </cellXfs>
  <cellStyles count="2">
    <cellStyle name="Moeda" xfId="1" builtinId="4"/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1FE-4B72-9E05-ED2939E4AE1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1FE-4B72-9E05-ED2939E4AE1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1FE-4B72-9E05-ED2939E4AE1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1FE-4B72-9E05-ED2939E4AE1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C1FE-4B72-9E05-ED2939E4AE15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25000</c:v>
                </c:pt>
                <c:pt idx="1">
                  <c:v>2087189.63</c:v>
                </c:pt>
                <c:pt idx="2" formatCode="[$R$ -416]#,##0.00">
                  <c:v>261376.04200000002</c:v>
                </c:pt>
                <c:pt idx="3" formatCode="[$R$ -416]#,##0.00">
                  <c:v>527423.94999999995</c:v>
                </c:pt>
                <c:pt idx="4" formatCode="[$R$ -416]#,##0.00">
                  <c:v>1223329.578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FE-4B72-9E05-ED2939E4A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3858148.9499999997</c:v>
                </c:pt>
                <c:pt idx="1">
                  <c:v>3248841.5700000003</c:v>
                </c:pt>
                <c:pt idx="2">
                  <c:v>470628.69999999943</c:v>
                </c:pt>
                <c:pt idx="3">
                  <c:v>138678.68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A37-444C-BFA3-1D7675B08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2822560"/>
        <c:axId val="2098319712"/>
      </c:barChart>
      <c:catAx>
        <c:axId val="87282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98319712"/>
        <c:crosses val="autoZero"/>
        <c:auto val="1"/>
        <c:lblAlgn val="ctr"/>
        <c:lblOffset val="100"/>
        <c:noMultiLvlLbl val="1"/>
      </c:catAx>
      <c:valAx>
        <c:axId val="20983197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7282256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2FF-4C98-A099-0D09DB3DD4E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2FF-4C98-A099-0D09DB3DD4E7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2FF-4C98-A099-0D09DB3DD4E7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2FF-4C98-A099-0D09DB3DD4E7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2FF-4C98-A099-0D09DB3DD4E7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 ORÇAMENTO MATRIZ </c:v>
                </c:pt>
                <c:pt idx="1">
                  <c:v> ASSISTÊNCIA ESTUDANTIL </c:v>
                </c:pt>
                <c:pt idx="2">
                  <c:v> FNDE </c:v>
                </c:pt>
                <c:pt idx="3">
                  <c:v> RECEITAS PRÓPRIAS </c:v>
                </c:pt>
                <c:pt idx="4">
                  <c:v> OUTRAS FONTES </c:v>
                </c:pt>
              </c:strCache>
            </c:strRef>
          </c:cat>
          <c:val>
            <c:numRef>
              <c:f>'Gráficos '!$L$63:$L$67</c:f>
              <c:numCache>
                <c:formatCode>_([$R$ -416]* #,##0.00_);_([$R$ -416]* \(#,##0.00\);_([$R$ -416]* "-"??_);_(@_)</c:formatCode>
                <c:ptCount val="5"/>
                <c:pt idx="0">
                  <c:v>5262003.49</c:v>
                </c:pt>
                <c:pt idx="1">
                  <c:v>2733673.99</c:v>
                </c:pt>
                <c:pt idx="2">
                  <c:v>203313.7</c:v>
                </c:pt>
                <c:pt idx="3">
                  <c:v>870978.59</c:v>
                </c:pt>
                <c:pt idx="4">
                  <c:v>371189.4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FF-4C98-A099-0D09DB3DD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'!$K$90:$K$94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'!$L$90:$L$94</c:f>
              <c:numCache>
                <c:formatCode>_([$R$ -416]* #,##0.00_);_([$R$ -416]* \(#,##0.00\);_([$R$ -416]* "-"??_);_(@_)</c:formatCode>
                <c:ptCount val="5"/>
                <c:pt idx="0">
                  <c:v>5262003.49</c:v>
                </c:pt>
                <c:pt idx="1">
                  <c:v>2733673.99</c:v>
                </c:pt>
                <c:pt idx="2">
                  <c:v>203313.7</c:v>
                </c:pt>
                <c:pt idx="3">
                  <c:v>870978.59</c:v>
                </c:pt>
                <c:pt idx="4">
                  <c:v>371189.4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27A-4D36-9A73-3F76B37ABB81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'!$K$90:$K$94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'!$M$90:$M$94</c:f>
              <c:numCache>
                <c:formatCode>_([$R$ -416]* #,##0.00_);_([$R$ -416]* \(#,##0.00\);_([$R$ -416]* "-"??_);_(@_)</c:formatCode>
                <c:ptCount val="5"/>
                <c:pt idx="0">
                  <c:v>4585961.1399999997</c:v>
                </c:pt>
                <c:pt idx="1">
                  <c:v>2733673.99</c:v>
                </c:pt>
                <c:pt idx="2">
                  <c:v>203313.7</c:v>
                </c:pt>
                <c:pt idx="3">
                  <c:v>870978.59</c:v>
                </c:pt>
                <c:pt idx="4">
                  <c:v>371189.4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27A-4D36-9A73-3F76B37AB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5570333"/>
        <c:axId val="1466761481"/>
      </c:barChart>
      <c:catAx>
        <c:axId val="9955703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66761481"/>
        <c:crosses val="autoZero"/>
        <c:auto val="1"/>
        <c:lblAlgn val="ctr"/>
        <c:lblOffset val="100"/>
        <c:noMultiLvlLbl val="1"/>
      </c:catAx>
      <c:valAx>
        <c:axId val="146676148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95570333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'!$L$115:$L$121</c:f>
              <c:numCache>
                <c:formatCode>General</c:formatCode>
                <c:ptCount val="7"/>
                <c:pt idx="1">
                  <c:v>0</c:v>
                </c:pt>
                <c:pt idx="2" formatCode="_([$R$ -416]* #,##0.00_);_([$R$ -416]* \(#,##0.00\);_([$R$ -416]* &quot;-&quot;??_);_(@_)">
                  <c:v>4585961.1399999997</c:v>
                </c:pt>
                <c:pt idx="3" formatCode="_([$R$ -416]* #,##0.00_);_([$R$ -416]* \(#,##0.00\);_([$R$ -416]* &quot;-&quot;??_);_(@_)">
                  <c:v>2733673.99</c:v>
                </c:pt>
                <c:pt idx="4" formatCode="_([$R$ -416]* #,##0.00_);_([$R$ -416]* \(#,##0.00\);_([$R$ -416]* &quot;-&quot;??_);_(@_)">
                  <c:v>203313.7</c:v>
                </c:pt>
                <c:pt idx="5" formatCode="_([$R$ -416]* #,##0.00_);_([$R$ -416]* \(#,##0.00\);_([$R$ -416]* &quot;-&quot;??_);_(@_)">
                  <c:v>870978.59</c:v>
                </c:pt>
                <c:pt idx="6" formatCode="_([$R$ -416]* #,##0.00_);_([$R$ -416]* \(#,##0.00\);_([$R$ -416]* &quot;-&quot;??_);_(@_)">
                  <c:v>371189.4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3E3-4EEE-8EDD-96F83639C64C}"/>
            </c:ext>
          </c:extLst>
        </c:ser>
        <c:ser>
          <c:idx val="1"/>
          <c:order val="1"/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'!$M$115:$M$121</c:f>
              <c:numCache>
                <c:formatCode>General</c:formatCode>
                <c:ptCount val="7"/>
                <c:pt idx="1">
                  <c:v>0</c:v>
                </c:pt>
                <c:pt idx="2" formatCode="_([$R$ -416]* #,##0.00_);_([$R$ -416]* \(#,##0.00\);_([$R$ -416]* &quot;-&quot;??_);_(@_)">
                  <c:v>4335219.16</c:v>
                </c:pt>
                <c:pt idx="3" formatCode="_([$R$ -416]* #,##0.00_);_([$R$ -416]* \(#,##0.00\);_([$R$ -416]* &quot;-&quot;??_);_(@_)">
                  <c:v>2449470.0000010002</c:v>
                </c:pt>
                <c:pt idx="4" formatCode="_([$R$ -416]* #,##0.00_);_([$R$ -416]* \(#,##0.00\);_([$R$ -416]* &quot;-&quot;??_);_(@_)">
                  <c:v>133053.9</c:v>
                </c:pt>
                <c:pt idx="5" formatCode="_([$R$ -416]* #,##0.00_);_([$R$ -416]* \(#,##0.00\);_([$R$ -416]* &quot;-&quot;??_);_(@_)">
                  <c:v>612679.16</c:v>
                </c:pt>
                <c:pt idx="6" formatCode="_([$R$ -416]* #,##0.00_);_([$R$ -416]* \(#,##0.00\);_([$R$ -416]* &quot;-&quot;??_);_(@_)">
                  <c:v>9.9999999999999995E-8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3E3-4EEE-8EDD-96F83639C64C}"/>
            </c:ext>
          </c:extLst>
        </c:ser>
        <c:ser>
          <c:idx val="2"/>
          <c:order val="2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'!$N$115:$N$121</c:f>
              <c:numCache>
                <c:formatCode>General</c:formatCode>
                <c:ptCount val="7"/>
                <c:pt idx="0">
                  <c:v>2022</c:v>
                </c:pt>
                <c:pt idx="1">
                  <c:v>0</c:v>
                </c:pt>
                <c:pt idx="2" formatCode="_([$R$ -416]* #,##0.00_);_([$R$ -416]* \(#,##0.00\);_([$R$ -416]* &quot;-&quot;??_);_(@_)">
                  <c:v>250741.97999999952</c:v>
                </c:pt>
                <c:pt idx="3" formatCode="_([$R$ -416]* #,##0.00_);_([$R$ -416]* \(#,##0.00\);_([$R$ -416]* &quot;-&quot;??_);_(@_)">
                  <c:v>284203.98999899998</c:v>
                </c:pt>
                <c:pt idx="4" formatCode="_([$R$ -416]* #,##0.00_);_([$R$ -416]* \(#,##0.00\);_([$R$ -416]* &quot;-&quot;??_);_(@_)">
                  <c:v>70259.800000000017</c:v>
                </c:pt>
                <c:pt idx="5" formatCode="_([$R$ -416]* #,##0.00_);_([$R$ -416]* \(#,##0.00\);_([$R$ -416]* &quot;-&quot;??_);_(@_)">
                  <c:v>258299.42999999993</c:v>
                </c:pt>
                <c:pt idx="6" formatCode="_([$R$ -416]* #,##0.00_);_([$R$ -416]* \(#,##0.00\);_([$R$ -416]* &quot;-&quot;??_);_(@_)">
                  <c:v>371189.39999990002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3E3-4EEE-8EDD-96F83639C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9870421"/>
        <c:axId val="1192282972"/>
      </c:barChart>
      <c:catAx>
        <c:axId val="194987042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92282972"/>
        <c:crosses val="autoZero"/>
        <c:auto val="1"/>
        <c:lblAlgn val="ctr"/>
        <c:lblOffset val="100"/>
        <c:noMultiLvlLbl val="1"/>
      </c:catAx>
      <c:valAx>
        <c:axId val="119228297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49870421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5D6F-4968-8780-1D82EEF4868A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5D6F-4968-8780-1D82EEF486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1536528.86</c:v>
                </c:pt>
                <c:pt idx="1">
                  <c:v>1342624.9000000001</c:v>
                </c:pt>
                <c:pt idx="2">
                  <c:v>223827.55</c:v>
                </c:pt>
                <c:pt idx="3">
                  <c:v>31148.26</c:v>
                </c:pt>
                <c:pt idx="4">
                  <c:v>109523</c:v>
                </c:pt>
                <c:pt idx="5">
                  <c:v>3243652.57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D6F-4968-8780-1D82EEF4868A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4335219.16</c:v>
                </c:pt>
                <c:pt idx="1">
                  <c:v>2449470.0000010002</c:v>
                </c:pt>
                <c:pt idx="2">
                  <c:v>133053.9</c:v>
                </c:pt>
                <c:pt idx="3">
                  <c:v>612679.16</c:v>
                </c:pt>
                <c:pt idx="4">
                  <c:v>9.9999999999999995E-8</c:v>
                </c:pt>
                <c:pt idx="5">
                  <c:v>7530422.2200011006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5D6F-4968-8780-1D82EEF48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438349"/>
        <c:axId val="1485309646"/>
      </c:barChart>
      <c:catAx>
        <c:axId val="18843834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85309646"/>
        <c:crosses val="autoZero"/>
        <c:auto val="1"/>
        <c:lblAlgn val="ctr"/>
        <c:lblOffset val="100"/>
        <c:noMultiLvlLbl val="1"/>
      </c:catAx>
      <c:valAx>
        <c:axId val="148530964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8438349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'!$L$171:$L$183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998631.58000000019</c:v>
                </c:pt>
                <c:pt idx="3">
                  <c:v>0</c:v>
                </c:pt>
                <c:pt idx="4">
                  <c:v>370775.03999999998</c:v>
                </c:pt>
                <c:pt idx="5">
                  <c:v>848180.34</c:v>
                </c:pt>
                <c:pt idx="6">
                  <c:v>235542.61</c:v>
                </c:pt>
                <c:pt idx="7">
                  <c:v>38612.710000000006</c:v>
                </c:pt>
                <c:pt idx="8">
                  <c:v>2113.5700000000002</c:v>
                </c:pt>
                <c:pt idx="9">
                  <c:v>0</c:v>
                </c:pt>
                <c:pt idx="10">
                  <c:v>0</c:v>
                </c:pt>
                <c:pt idx="11">
                  <c:v>749796.72000000009</c:v>
                </c:pt>
                <c:pt idx="12">
                  <c:v>3243652.57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EE9-481E-8BB0-121D08714589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'!$M$171:$M$183</c:f>
              <c:numCache>
                <c:formatCode>_([$R$ -416]* #,##0.00_);_([$R$ -416]* \(#,##0.00\);_([$R$ -416]* "-"??_);_(@_)</c:formatCode>
                <c:ptCount val="13"/>
                <c:pt idx="0">
                  <c:v>64209.7</c:v>
                </c:pt>
                <c:pt idx="1">
                  <c:v>972167</c:v>
                </c:pt>
                <c:pt idx="2">
                  <c:v>1577833.05</c:v>
                </c:pt>
                <c:pt idx="3">
                  <c:v>100371.5</c:v>
                </c:pt>
                <c:pt idx="4">
                  <c:v>3200335.01</c:v>
                </c:pt>
                <c:pt idx="5">
                  <c:v>789710.79000099993</c:v>
                </c:pt>
                <c:pt idx="6">
                  <c:v>298364.04000000004</c:v>
                </c:pt>
                <c:pt idx="7">
                  <c:v>143298.62</c:v>
                </c:pt>
                <c:pt idx="8">
                  <c:v>10457.039999999999</c:v>
                </c:pt>
                <c:pt idx="9">
                  <c:v>13616.119999999999</c:v>
                </c:pt>
                <c:pt idx="10">
                  <c:v>232933.99</c:v>
                </c:pt>
                <c:pt idx="11">
                  <c:v>127125.3600001</c:v>
                </c:pt>
                <c:pt idx="12">
                  <c:v>7530422.2200011006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EE9-481E-8BB0-121D08714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6063980"/>
        <c:axId val="1523496724"/>
      </c:barChart>
      <c:catAx>
        <c:axId val="76606398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23496724"/>
        <c:crosses val="autoZero"/>
        <c:auto val="1"/>
        <c:lblAlgn val="ctr"/>
        <c:lblOffset val="100"/>
        <c:noMultiLvlLbl val="1"/>
      </c:catAx>
      <c:valAx>
        <c:axId val="152349672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66063980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FEF2-4B9F-A72F-5C315CB7CBB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FEF2-4B9F-A72F-5C315CB7CBB2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FEF2-4B9F-A72F-5C315CB7CBB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475817.7</c:v>
                </c:pt>
                <c:pt idx="1">
                  <c:v>166655.53999890015</c:v>
                </c:pt>
                <c:pt idx="2">
                  <c:v>1068039.06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F2-4B9F-A72F-5C315CB7C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6AA84F">
                  <a:alpha val="100000"/>
                </a:srgbClr>
              </a:solidFill>
            </a:ln>
          </c:spPr>
          <c:invertIfNegative val="1"/>
          <c:cat>
            <c:strRef>
              <c:f>'Gráficos '!$H$171:$H$182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'!$I$171:$I$182</c:f>
              <c:numCache>
                <c:formatCode>_([$R$ -416]* #,##0.00_);_([$R$ -416]* \(#,##0.00\);_([$R$ -416]* "-"??_);_(@_)</c:formatCode>
                <c:ptCount val="12"/>
                <c:pt idx="0">
                  <c:v>2.2737367544323206E-13</c:v>
                </c:pt>
                <c:pt idx="1">
                  <c:v>0</c:v>
                </c:pt>
                <c:pt idx="2">
                  <c:v>446716.57</c:v>
                </c:pt>
                <c:pt idx="3">
                  <c:v>1.4551915228366852E-11</c:v>
                </c:pt>
                <c:pt idx="4">
                  <c:v>284644.5400000001</c:v>
                </c:pt>
                <c:pt idx="5">
                  <c:v>277292.30999900005</c:v>
                </c:pt>
                <c:pt idx="6">
                  <c:v>43586.670000000013</c:v>
                </c:pt>
                <c:pt idx="7">
                  <c:v>28916.300000000003</c:v>
                </c:pt>
                <c:pt idx="8">
                  <c:v>490.40999999999985</c:v>
                </c:pt>
                <c:pt idx="9">
                  <c:v>12120</c:v>
                </c:pt>
                <c:pt idx="10">
                  <c:v>0</c:v>
                </c:pt>
                <c:pt idx="11">
                  <c:v>616745.4999999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6AA84F">
                        <a:alpha val="10000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19-4677-BBB7-976656598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9542410"/>
        <c:axId val="1482317881"/>
      </c:barChart>
      <c:catAx>
        <c:axId val="193954241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82317881"/>
        <c:crosses val="autoZero"/>
        <c:auto val="1"/>
        <c:lblAlgn val="ctr"/>
        <c:lblOffset val="100"/>
        <c:noMultiLvlLbl val="1"/>
      </c:catAx>
      <c:valAx>
        <c:axId val="148231788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39542410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32C-40EC-A45A-FE0F8025868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232C-40EC-A45A-FE0F80258688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232C-40EC-A45A-FE0F80258688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232C-40EC-A45A-FE0F80258688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232C-40EC-A45A-FE0F80258688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232C-40EC-A45A-FE0F80258688}"/>
              </c:ext>
            </c:extLst>
          </c:dPt>
          <c:cat>
            <c:strRef>
              <c:f>'Gráficos '!$E$33:$E$38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'!$F$33:$F$38</c:f>
              <c:numCache>
                <c:formatCode>[$R$-416]\ #,##0.00;[Red]\-[$R$-416]\ #,##0.00</c:formatCode>
                <c:ptCount val="6"/>
                <c:pt idx="0" formatCode="[$R$ -416]#,##0.00">
                  <c:v>5022.67</c:v>
                </c:pt>
                <c:pt idx="1">
                  <c:v>2053588.3299999998</c:v>
                </c:pt>
                <c:pt idx="2" formatCode="[$R$ -416]#,##0.00">
                  <c:v>132792.95000000001</c:v>
                </c:pt>
                <c:pt idx="3" formatCode="[$R$ -416]#,##0.00">
                  <c:v>161785.56</c:v>
                </c:pt>
                <c:pt idx="4" formatCode="[$R$ -416]#,##0.00">
                  <c:v>1235847.3700000001</c:v>
                </c:pt>
                <c:pt idx="5" formatCode="_([$R$ -416]* #,##0.00_);_([$R$ -416]* \(#,##0.00\);_([$R$ -416]* &quot;-&quot;??_);_(@_)">
                  <c:v>996924.26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32C-40EC-A45A-FE0F80258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9733-4624-A3CC-B57842C8DD04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9733-4624-A3CC-B57842C8DD04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9733-4624-A3CC-B57842C8DD04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9733-4624-A3CC-B57842C8DD04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9733-4624-A3CC-B57842C8DD04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9733-4624-A3CC-B57842C8DD04}"/>
              </c:ext>
            </c:extLst>
          </c:dPt>
          <c:cat>
            <c:strRef>
              <c:f>'Gráficos '!$H$33:$H$38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'!$I$33:$I$38</c:f>
              <c:numCache>
                <c:formatCode>[$R$-416]\ #,##0.00;[Red]\-[$R$-416]\ #,##0.00</c:formatCode>
                <c:ptCount val="6"/>
                <c:pt idx="0" formatCode="[$R$ -416]#,##0.00">
                  <c:v>5022.67</c:v>
                </c:pt>
                <c:pt idx="1">
                  <c:v>2012885.49</c:v>
                </c:pt>
                <c:pt idx="2" formatCode="[$R$ -416]#,##0.00">
                  <c:v>109724.39</c:v>
                </c:pt>
                <c:pt idx="3" formatCode="[$R$ -416]#,##0.00">
                  <c:v>161785.56</c:v>
                </c:pt>
                <c:pt idx="4" formatCode="[$R$ -416]#,##0.00">
                  <c:v>1119716.1700000002</c:v>
                </c:pt>
                <c:pt idx="5" formatCode="_([$R$ -416]* #,##0.00_);_([$R$ -416]* \(#,##0.00\);_([$R$ -416]* &quot;-&quot;??_);_(@_)">
                  <c:v>996924.25999999989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33-4624-A3CC-B57842C8D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4124319.1999999993</c:v>
                </c:pt>
                <c:pt idx="1">
                  <c:v>5262003.49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AB-47C4-B013-4A46EDB9B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92185630"/>
        <c:axId val="1648645161"/>
      </c:barChart>
      <c:catAx>
        <c:axId val="129218563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648645161"/>
        <c:crosses val="autoZero"/>
        <c:auto val="1"/>
        <c:lblAlgn val="ctr"/>
        <c:lblOffset val="100"/>
        <c:noMultiLvlLbl val="1"/>
      </c:catAx>
      <c:valAx>
        <c:axId val="164864516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92185630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343693.2666666666</c:v>
                </c:pt>
                <c:pt idx="1">
                  <c:v>343693.2666666666</c:v>
                </c:pt>
                <c:pt idx="2">
                  <c:v>343693.2666666666</c:v>
                </c:pt>
                <c:pt idx="3">
                  <c:v>343693.2666666666</c:v>
                </c:pt>
                <c:pt idx="4">
                  <c:v>343693.2666666666</c:v>
                </c:pt>
                <c:pt idx="5">
                  <c:v>343693.2666666666</c:v>
                </c:pt>
                <c:pt idx="6">
                  <c:v>343693.2666666666</c:v>
                </c:pt>
                <c:pt idx="7">
                  <c:v>343693.2666666666</c:v>
                </c:pt>
                <c:pt idx="8">
                  <c:v>343693.2666666666</c:v>
                </c:pt>
                <c:pt idx="9">
                  <c:v>343693.2666666666</c:v>
                </c:pt>
                <c:pt idx="10">
                  <c:v>343693.2666666666</c:v>
                </c:pt>
                <c:pt idx="11">
                  <c:v>343693.2666666666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93F-4D09-B903-8EFB69D34808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1157216</c:v>
                </c:pt>
                <c:pt idx="1">
                  <c:v>385739</c:v>
                </c:pt>
                <c:pt idx="2">
                  <c:v>80000</c:v>
                </c:pt>
                <c:pt idx="3" formatCode="[$R$]#,##0.00">
                  <c:v>1928694</c:v>
                </c:pt>
                <c:pt idx="4" formatCode="[$R$]#,##0.00">
                  <c:v>267008.21999999997</c:v>
                </c:pt>
                <c:pt idx="5" formatCode="[$R$]#,##0.00">
                  <c:v>335653.63999999996</c:v>
                </c:pt>
                <c:pt idx="6">
                  <c:v>78286.540000000008</c:v>
                </c:pt>
                <c:pt idx="7">
                  <c:v>11788.77</c:v>
                </c:pt>
                <c:pt idx="8">
                  <c:v>200000</c:v>
                </c:pt>
                <c:pt idx="9" formatCode="[$R$]#,##0.00">
                  <c:v>-16265.89</c:v>
                </c:pt>
                <c:pt idx="10" formatCode="[$R$]#,##0.00">
                  <c:v>27830.25</c:v>
                </c:pt>
                <c:pt idx="11" formatCode="[$R$]#,##0.00">
                  <c:v>-95435.65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93F-4D09-B903-8EFB69D34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75703718"/>
        <c:axId val="1018463333"/>
      </c:barChart>
      <c:catAx>
        <c:axId val="9757037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18463333"/>
        <c:crosses val="autoZero"/>
        <c:auto val="1"/>
        <c:lblAlgn val="ctr"/>
        <c:lblOffset val="100"/>
        <c:noMultiLvlLbl val="1"/>
      </c:catAx>
      <c:valAx>
        <c:axId val="10184633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7570371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5262003.49</c:v>
                </c:pt>
                <c:pt idx="1">
                  <c:v>4585961.1399999997</c:v>
                </c:pt>
                <c:pt idx="2">
                  <c:v>4406058.54</c:v>
                </c:pt>
                <c:pt idx="3">
                  <c:v>4335219.16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3E0-417D-94AF-2B53E9988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3253581"/>
        <c:axId val="534597055"/>
      </c:barChart>
      <c:catAx>
        <c:axId val="32325358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34597055"/>
        <c:crosses val="autoZero"/>
        <c:auto val="1"/>
        <c:lblAlgn val="ctr"/>
        <c:lblOffset val="100"/>
        <c:noMultiLvlLbl val="1"/>
      </c:catAx>
      <c:valAx>
        <c:axId val="53459705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323253581"/>
        <c:crosses val="max"/>
        <c:crossBetween val="between"/>
        <c:dispUnits>
          <c:builtInUnit val="millions"/>
          <c:dispUnitsLbl>
            <c:layout/>
          </c:dispUnitsLbl>
        </c:dispUnits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E4C-4319-9B0E-B740B5AB50BF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E4C-4319-9B0E-B740B5AB50BF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E4C-4319-9B0E-B740B5AB50BF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E4C-4319-9B0E-B740B5AB50BF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5E4C-4319-9B0E-B740B5AB50B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</c:v>
                </c:pt>
              </c:strCache>
            </c:strRef>
          </c:cat>
          <c:val>
            <c:numRef>
              <c:f>'Gráficos '!$C$5:$C$9</c:f>
              <c:numCache>
                <c:formatCode>_("R$"* #,##0.00_);_("R$"* \(#,##0.00\);_("R$"* "-"??_);_(@_)</c:formatCode>
                <c:ptCount val="5"/>
                <c:pt idx="0">
                  <c:v>4124319.1999999993</c:v>
                </c:pt>
                <c:pt idx="1">
                  <c:v>200000</c:v>
                </c:pt>
                <c:pt idx="2">
                  <c:v>10000</c:v>
                </c:pt>
                <c:pt idx="3">
                  <c:v>2749944.87</c:v>
                </c:pt>
                <c:pt idx="4">
                  <c:v>9780000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4C-4319-9B0E-B740B5AB5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3779997037869649"/>
          <c:y val="2.2659331045157816E-2"/>
          <c:w val="0.59585230926390642"/>
          <c:h val="0.9625304529241537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6198-48E9-89F4-F374D8BB03C4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6198-48E9-89F4-F374D8BB03C4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6198-48E9-89F4-F374D8BB03C4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6198-48E9-89F4-F374D8BB03C4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6198-48E9-89F4-F374D8BB03C4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6198-48E9-89F4-F374D8BB03C4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6198-48E9-89F4-F374D8BB03C4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6198-48E9-89F4-F374D8BB03C4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6198-48E9-89F4-F374D8BB03C4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6198-48E9-89F4-F374D8BB03C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EXTENSÃO- PI - LEN09P20FAI</c:v>
                </c:pt>
              </c:strCache>
            </c:strRef>
          </c:cat>
          <c:val>
            <c:numRef>
              <c:f>'Gráficos '!$F$4:$F$13</c:f>
              <c:numCache>
                <c:formatCode>_("R$"* #,##0.00_);_("R$"* \(#,##0.00\);_("R$"* "-"??_);_(@_)</c:formatCode>
                <c:ptCount val="10"/>
                <c:pt idx="0">
                  <c:v>3592889.629999999</c:v>
                </c:pt>
                <c:pt idx="1">
                  <c:v>41243.192000000003</c:v>
                </c:pt>
                <c:pt idx="2">
                  <c:v>11039.870000000003</c:v>
                </c:pt>
                <c:pt idx="3">
                  <c:v>46092.98</c:v>
                </c:pt>
                <c:pt idx="4">
                  <c:v>0</c:v>
                </c:pt>
                <c:pt idx="5">
                  <c:v>41243.19</c:v>
                </c:pt>
                <c:pt idx="6">
                  <c:v>206215.96</c:v>
                </c:pt>
                <c:pt idx="7">
                  <c:v>61864.799999999996</c:v>
                </c:pt>
                <c:pt idx="8">
                  <c:v>61864.788000000008</c:v>
                </c:pt>
                <c:pt idx="9">
                  <c:v>61864.789999999994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198-48E9-89F4-F374D8BB0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1.073150287351805E-2"/>
          <c:y val="7.8491150144693669E-3"/>
          <c:w val="0.32650750991455407"/>
          <c:h val="0.96650985934450506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0C1-409F-9D81-A05FA7F97ADD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0C1-409F-9D81-A05FA7F97ADD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0C1-409F-9D81-A05FA7F97ADD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0C1-409F-9D81-A05FA7F97ADD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C0C1-409F-9D81-A05FA7F97AD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RECURSOS</c:v>
                </c:pt>
              </c:strCache>
            </c:strRef>
          </c:cat>
          <c:val>
            <c:numRef>
              <c:f>'Gráficos '!$I$5:$I$9</c:f>
              <c:numCache>
                <c:formatCode>[$R$ -416]#,##0.00</c:formatCode>
                <c:ptCount val="5"/>
                <c:pt idx="0">
                  <c:v>206215.96</c:v>
                </c:pt>
                <c:pt idx="1">
                  <c:v>10000</c:v>
                </c:pt>
                <c:pt idx="2">
                  <c:v>2749944.87</c:v>
                </c:pt>
                <c:pt idx="3">
                  <c:v>200000</c:v>
                </c:pt>
                <c:pt idx="4">
                  <c:v>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C1-409F-9D81-A05FA7F97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762375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114300</xdr:colOff>
      <xdr:row>13</xdr:row>
      <xdr:rowOff>38100</xdr:rowOff>
    </xdr:from>
    <xdr:ext cx="4800599" cy="2971800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85725</xdr:rowOff>
    </xdr:from>
    <xdr:ext cx="4772025" cy="3686175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76200</xdr:colOff>
      <xdr:row>94</xdr:row>
      <xdr:rowOff>133350</xdr:rowOff>
    </xdr:from>
    <xdr:ext cx="4772025" cy="3295650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122</xdr:row>
      <xdr:rowOff>123825</xdr:rowOff>
    </xdr:from>
    <xdr:ext cx="5915025" cy="32004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183</xdr:row>
      <xdr:rowOff>38100</xdr:rowOff>
    </xdr:from>
    <xdr:ext cx="5915025" cy="36766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85725</xdr:colOff>
      <xdr:row>183</xdr:row>
      <xdr:rowOff>114300</xdr:rowOff>
    </xdr:from>
    <xdr:ext cx="4772025" cy="3533775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579" t="s">
        <v>0</v>
      </c>
      <c r="C2" s="580"/>
      <c r="D2" s="580"/>
      <c r="E2" s="580"/>
      <c r="F2" s="580"/>
      <c r="G2" s="580"/>
      <c r="H2" s="581"/>
      <c r="J2" s="582" t="s">
        <v>1</v>
      </c>
      <c r="K2" s="580"/>
      <c r="L2" s="580"/>
      <c r="M2" s="580"/>
      <c r="N2" s="580"/>
      <c r="O2" s="580"/>
      <c r="P2" s="581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583" t="s">
        <v>8</v>
      </c>
      <c r="K8" s="580"/>
      <c r="L8" s="580"/>
      <c r="M8" s="580"/>
      <c r="N8" s="580"/>
      <c r="O8" s="580"/>
      <c r="P8" s="581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930"/>
  <sheetViews>
    <sheetView showGridLines="0" tabSelected="1" zoomScale="90" zoomScaleNormal="90" workbookViewId="0">
      <pane xSplit="4" ySplit="3" topLeftCell="BG646" activePane="bottomRight" state="frozen"/>
      <selection pane="topRight" activeCell="E1" sqref="E1"/>
      <selection pane="bottomLeft" activeCell="A4" sqref="A4"/>
      <selection pane="bottomRight" activeCell="BK649" sqref="BK649"/>
    </sheetView>
  </sheetViews>
  <sheetFormatPr defaultColWidth="14.42578125" defaultRowHeight="15" customHeight="1" outlineLevelRow="1"/>
  <cols>
    <col min="1" max="1" width="17.85546875" customWidth="1"/>
    <col min="2" max="2" width="16" customWidth="1"/>
    <col min="3" max="3" width="16.85546875" customWidth="1"/>
    <col min="4" max="4" width="66.5703125" customWidth="1"/>
    <col min="5" max="7" width="19.28515625" customWidth="1"/>
    <col min="8" max="8" width="19.71093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" customWidth="1"/>
    <col min="14" max="15" width="17.7109375" customWidth="1"/>
    <col min="16" max="17" width="17.7109375" bestFit="1" customWidth="1"/>
    <col min="18" max="18" width="18" customWidth="1"/>
    <col min="19" max="20" width="17.7109375" bestFit="1" customWidth="1"/>
    <col min="21" max="21" width="16.85546875" customWidth="1"/>
    <col min="22" max="22" width="17" customWidth="1"/>
    <col min="23" max="23" width="16.28515625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4" width="17.7109375" bestFit="1" customWidth="1"/>
    <col min="65" max="65" width="17.28515625" customWidth="1"/>
    <col min="66" max="67" width="16.28515625" customWidth="1"/>
    <col min="68" max="68" width="16.42578125" customWidth="1"/>
    <col min="69" max="69" width="16.85546875" customWidth="1"/>
    <col min="70" max="70" width="16.28515625" customWidth="1"/>
    <col min="71" max="71" width="17.7109375" bestFit="1" customWidth="1"/>
    <col min="72" max="72" width="17.7109375" customWidth="1"/>
    <col min="73" max="75" width="19.5703125" customWidth="1"/>
    <col min="76" max="85" width="14.42578125" customWidth="1"/>
  </cols>
  <sheetData>
    <row r="1" spans="1:85" ht="18.75">
      <c r="A1" s="20" t="s">
        <v>51</v>
      </c>
      <c r="B1" s="21"/>
      <c r="C1" s="22"/>
      <c r="D1" s="23"/>
      <c r="E1" s="594" t="s">
        <v>52</v>
      </c>
      <c r="F1" s="588"/>
      <c r="G1" s="588"/>
      <c r="H1" s="588"/>
      <c r="I1" s="588"/>
      <c r="J1" s="585"/>
      <c r="K1" s="604" t="s">
        <v>53</v>
      </c>
      <c r="L1" s="605"/>
      <c r="M1" s="605"/>
      <c r="N1" s="606"/>
      <c r="O1" s="607" t="s">
        <v>54</v>
      </c>
      <c r="P1" s="588"/>
      <c r="Q1" s="585"/>
      <c r="R1" s="608" t="s">
        <v>55</v>
      </c>
      <c r="S1" s="601"/>
      <c r="T1" s="602"/>
      <c r="U1" s="609" t="s">
        <v>56</v>
      </c>
      <c r="V1" s="601"/>
      <c r="W1" s="602"/>
      <c r="X1" s="610" t="s">
        <v>57</v>
      </c>
      <c r="Y1" s="601"/>
      <c r="Z1" s="602"/>
      <c r="AA1" s="600" t="s">
        <v>58</v>
      </c>
      <c r="AB1" s="601"/>
      <c r="AC1" s="602"/>
      <c r="AD1" s="600" t="s">
        <v>59</v>
      </c>
      <c r="AE1" s="601"/>
      <c r="AF1" s="602"/>
      <c r="AG1" s="600" t="s">
        <v>60</v>
      </c>
      <c r="AH1" s="601"/>
      <c r="AI1" s="602"/>
      <c r="AJ1" s="600" t="s">
        <v>61</v>
      </c>
      <c r="AK1" s="601"/>
      <c r="AL1" s="602"/>
      <c r="AM1" s="600" t="s">
        <v>62</v>
      </c>
      <c r="AN1" s="601"/>
      <c r="AO1" s="602"/>
      <c r="AP1" s="600" t="s">
        <v>63</v>
      </c>
      <c r="AQ1" s="601"/>
      <c r="AR1" s="602"/>
      <c r="AS1" s="600" t="s">
        <v>64</v>
      </c>
      <c r="AT1" s="601"/>
      <c r="AU1" s="602"/>
      <c r="AV1" s="600" t="s">
        <v>65</v>
      </c>
      <c r="AW1" s="601"/>
      <c r="AX1" s="602"/>
      <c r="AY1" s="600" t="s">
        <v>66</v>
      </c>
      <c r="AZ1" s="601"/>
      <c r="BA1" s="602"/>
      <c r="BB1" s="600" t="s">
        <v>67</v>
      </c>
      <c r="BC1" s="601"/>
      <c r="BD1" s="602"/>
      <c r="BE1" s="600" t="s">
        <v>68</v>
      </c>
      <c r="BF1" s="601"/>
      <c r="BG1" s="602"/>
      <c r="BH1" s="600" t="s">
        <v>69</v>
      </c>
      <c r="BI1" s="601"/>
      <c r="BJ1" s="602"/>
      <c r="BK1" s="600" t="s">
        <v>70</v>
      </c>
      <c r="BL1" s="601"/>
      <c r="BM1" s="602"/>
      <c r="BN1" s="603" t="s">
        <v>71</v>
      </c>
      <c r="BO1" s="588"/>
      <c r="BP1" s="585"/>
      <c r="BQ1" s="603" t="s">
        <v>72</v>
      </c>
      <c r="BR1" s="588"/>
      <c r="BS1" s="585"/>
      <c r="BT1" s="598" t="s">
        <v>73</v>
      </c>
      <c r="BU1" s="598" t="s">
        <v>74</v>
      </c>
      <c r="BV1" s="598" t="s">
        <v>75</v>
      </c>
      <c r="BW1" s="598" t="s">
        <v>76</v>
      </c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ht="94.5">
      <c r="A2" s="593" t="s">
        <v>77</v>
      </c>
      <c r="B2" s="588"/>
      <c r="C2" s="24">
        <v>2022</v>
      </c>
      <c r="D2" s="25" t="s">
        <v>78</v>
      </c>
      <c r="E2" s="26" t="s">
        <v>79</v>
      </c>
      <c r="F2" s="27" t="s">
        <v>80</v>
      </c>
      <c r="G2" s="27" t="s">
        <v>81</v>
      </c>
      <c r="H2" s="28" t="s">
        <v>82</v>
      </c>
      <c r="I2" s="29" t="s">
        <v>83</v>
      </c>
      <c r="J2" s="29" t="s">
        <v>84</v>
      </c>
      <c r="K2" s="30" t="s">
        <v>85</v>
      </c>
      <c r="L2" s="31" t="s">
        <v>86</v>
      </c>
      <c r="M2" s="32" t="s">
        <v>87</v>
      </c>
      <c r="N2" s="33" t="s">
        <v>88</v>
      </c>
      <c r="O2" s="34" t="s">
        <v>85</v>
      </c>
      <c r="P2" s="34" t="s">
        <v>86</v>
      </c>
      <c r="Q2" s="35" t="s">
        <v>89</v>
      </c>
      <c r="R2" s="34" t="s">
        <v>85</v>
      </c>
      <c r="S2" s="34" t="s">
        <v>86</v>
      </c>
      <c r="T2" s="35" t="s">
        <v>90</v>
      </c>
      <c r="U2" s="36" t="s">
        <v>91</v>
      </c>
      <c r="V2" s="37" t="s">
        <v>86</v>
      </c>
      <c r="W2" s="36" t="s">
        <v>92</v>
      </c>
      <c r="X2" s="38" t="s">
        <v>93</v>
      </c>
      <c r="Y2" s="39" t="s">
        <v>86</v>
      </c>
      <c r="Z2" s="38" t="s">
        <v>94</v>
      </c>
      <c r="AA2" s="31" t="s">
        <v>85</v>
      </c>
      <c r="AB2" s="31" t="s">
        <v>86</v>
      </c>
      <c r="AC2" s="32" t="s">
        <v>95</v>
      </c>
      <c r="AD2" s="31" t="s">
        <v>85</v>
      </c>
      <c r="AE2" s="31" t="s">
        <v>86</v>
      </c>
      <c r="AF2" s="32" t="s">
        <v>96</v>
      </c>
      <c r="AG2" s="31" t="s">
        <v>85</v>
      </c>
      <c r="AH2" s="31" t="s">
        <v>86</v>
      </c>
      <c r="AI2" s="32" t="s">
        <v>97</v>
      </c>
      <c r="AJ2" s="31" t="s">
        <v>85</v>
      </c>
      <c r="AK2" s="31" t="s">
        <v>86</v>
      </c>
      <c r="AL2" s="32" t="s">
        <v>98</v>
      </c>
      <c r="AM2" s="31" t="s">
        <v>85</v>
      </c>
      <c r="AN2" s="31" t="s">
        <v>86</v>
      </c>
      <c r="AO2" s="32" t="s">
        <v>99</v>
      </c>
      <c r="AP2" s="31" t="s">
        <v>85</v>
      </c>
      <c r="AQ2" s="31" t="s">
        <v>86</v>
      </c>
      <c r="AR2" s="32" t="s">
        <v>100</v>
      </c>
      <c r="AS2" s="31" t="s">
        <v>85</v>
      </c>
      <c r="AT2" s="31" t="s">
        <v>86</v>
      </c>
      <c r="AU2" s="32" t="s">
        <v>101</v>
      </c>
      <c r="AV2" s="31" t="s">
        <v>85</v>
      </c>
      <c r="AW2" s="31" t="s">
        <v>86</v>
      </c>
      <c r="AX2" s="32" t="s">
        <v>102</v>
      </c>
      <c r="AY2" s="31" t="s">
        <v>85</v>
      </c>
      <c r="AZ2" s="31" t="s">
        <v>86</v>
      </c>
      <c r="BA2" s="32" t="s">
        <v>103</v>
      </c>
      <c r="BB2" s="31" t="s">
        <v>85</v>
      </c>
      <c r="BC2" s="31" t="s">
        <v>86</v>
      </c>
      <c r="BD2" s="32" t="s">
        <v>104</v>
      </c>
      <c r="BE2" s="31" t="s">
        <v>85</v>
      </c>
      <c r="BF2" s="31" t="s">
        <v>86</v>
      </c>
      <c r="BG2" s="32" t="s">
        <v>105</v>
      </c>
      <c r="BH2" s="31" t="s">
        <v>85</v>
      </c>
      <c r="BI2" s="31" t="s">
        <v>86</v>
      </c>
      <c r="BJ2" s="32" t="s">
        <v>106</v>
      </c>
      <c r="BK2" s="31" t="s">
        <v>85</v>
      </c>
      <c r="BL2" s="31" t="s">
        <v>86</v>
      </c>
      <c r="BM2" s="32" t="s">
        <v>107</v>
      </c>
      <c r="BN2" s="31" t="s">
        <v>85</v>
      </c>
      <c r="BO2" s="32" t="s">
        <v>108</v>
      </c>
      <c r="BP2" s="32" t="s">
        <v>109</v>
      </c>
      <c r="BQ2" s="31" t="s">
        <v>85</v>
      </c>
      <c r="BR2" s="32" t="s">
        <v>110</v>
      </c>
      <c r="BS2" s="32" t="s">
        <v>109</v>
      </c>
      <c r="BT2" s="599"/>
      <c r="BU2" s="599"/>
      <c r="BV2" s="599"/>
      <c r="BW2" s="599"/>
      <c r="BX2" s="1"/>
      <c r="BY2" s="1"/>
      <c r="BZ2" s="1"/>
      <c r="CA2" s="1"/>
      <c r="CB2" s="1"/>
      <c r="CC2" s="1"/>
      <c r="CD2" s="1"/>
      <c r="CE2" s="1"/>
      <c r="CF2" s="1"/>
      <c r="CG2" s="1"/>
    </row>
    <row r="3" spans="1:85" ht="15.75">
      <c r="A3" s="40" t="s">
        <v>111</v>
      </c>
      <c r="B3" s="41" t="s">
        <v>112</v>
      </c>
      <c r="C3" s="42" t="s">
        <v>113</v>
      </c>
      <c r="D3" s="43" t="s">
        <v>114</v>
      </c>
      <c r="E3" s="44">
        <f t="shared" ref="E3:H3" si="0">E4+E9+E166+E280+E512+E707+E715</f>
        <v>4628865.2</v>
      </c>
      <c r="F3" s="44">
        <f t="shared" si="0"/>
        <v>504546</v>
      </c>
      <c r="G3" s="44">
        <f t="shared" si="0"/>
        <v>4124319.1999999993</v>
      </c>
      <c r="H3" s="45">
        <f t="shared" si="0"/>
        <v>12739944.870000001</v>
      </c>
      <c r="I3" s="46">
        <f t="shared" ref="I3:I4" si="1">K3/G3</f>
        <v>1.1119316710500973</v>
      </c>
      <c r="J3" s="46">
        <f t="shared" ref="J3:J4" si="2">O3/G3</f>
        <v>1.0683117203925441</v>
      </c>
      <c r="K3" s="45">
        <f t="shared" ref="K3:W3" si="3">K4+K9+K166+K280+K512+K707+K715</f>
        <v>4585961.1399999997</v>
      </c>
      <c r="L3" s="44">
        <f t="shared" si="3"/>
        <v>3858148.9499999997</v>
      </c>
      <c r="M3" s="44">
        <f t="shared" si="3"/>
        <v>138678.68</v>
      </c>
      <c r="N3" s="45">
        <f t="shared" si="3"/>
        <v>4179155.6800000006</v>
      </c>
      <c r="O3" s="44">
        <f t="shared" si="3"/>
        <v>4406058.54</v>
      </c>
      <c r="P3" s="44">
        <f t="shared" si="3"/>
        <v>3248841.5700000003</v>
      </c>
      <c r="Q3" s="44">
        <f t="shared" si="3"/>
        <v>3291019.22</v>
      </c>
      <c r="R3" s="44">
        <f t="shared" si="3"/>
        <v>4335219.16</v>
      </c>
      <c r="S3" s="44">
        <f t="shared" si="3"/>
        <v>3243652.5700000003</v>
      </c>
      <c r="T3" s="44">
        <f t="shared" si="3"/>
        <v>3195203.0600011004</v>
      </c>
      <c r="U3" s="45">
        <f t="shared" si="3"/>
        <v>179902.59999999998</v>
      </c>
      <c r="V3" s="45">
        <f t="shared" si="3"/>
        <v>475817.7</v>
      </c>
      <c r="W3" s="45">
        <f t="shared" si="3"/>
        <v>888136.46</v>
      </c>
      <c r="X3" s="46">
        <f t="shared" ref="X3:Y3" si="4">IF(O3&gt;0,O3/K3,0)</f>
        <v>0.96077101516826202</v>
      </c>
      <c r="Y3" s="46">
        <f t="shared" si="4"/>
        <v>0.84207261360399277</v>
      </c>
      <c r="Z3" s="46">
        <f t="shared" ref="Z3:Z164" si="5">IF(Q3&gt;0,Q3/N3,0)</f>
        <v>0.78748423652884825</v>
      </c>
      <c r="AA3" s="44">
        <f t="shared" ref="AA3:BW3" si="6">AA4+AA9+AA166+AA280+AA512+AA707+AA715</f>
        <v>117632.43</v>
      </c>
      <c r="AB3" s="44">
        <f t="shared" si="6"/>
        <v>436924.12999999995</v>
      </c>
      <c r="AC3" s="44">
        <f t="shared" si="6"/>
        <v>0</v>
      </c>
      <c r="AD3" s="44">
        <f t="shared" si="6"/>
        <v>103253.87</v>
      </c>
      <c r="AE3" s="44">
        <f t="shared" si="6"/>
        <v>376933.13</v>
      </c>
      <c r="AF3" s="44">
        <f t="shared" si="6"/>
        <v>405.27</v>
      </c>
      <c r="AG3" s="44">
        <f t="shared" si="6"/>
        <v>316244.54000000004</v>
      </c>
      <c r="AH3" s="44">
        <f t="shared" si="6"/>
        <v>758963.84000000008</v>
      </c>
      <c r="AI3" s="44">
        <f t="shared" si="6"/>
        <v>106717.36</v>
      </c>
      <c r="AJ3" s="44">
        <f t="shared" si="6"/>
        <v>270181.07</v>
      </c>
      <c r="AK3" s="44">
        <f t="shared" si="6"/>
        <v>327810.02</v>
      </c>
      <c r="AL3" s="44">
        <f t="shared" si="6"/>
        <v>203632.5</v>
      </c>
      <c r="AM3" s="44">
        <f t="shared" si="6"/>
        <v>295124.74</v>
      </c>
      <c r="AN3" s="44">
        <f t="shared" si="6"/>
        <v>182392.25999999995</v>
      </c>
      <c r="AO3" s="44">
        <f t="shared" si="6"/>
        <v>312364.15000000002</v>
      </c>
      <c r="AP3" s="44">
        <f t="shared" si="6"/>
        <v>467301.53</v>
      </c>
      <c r="AQ3" s="44">
        <f t="shared" si="6"/>
        <v>279783.14</v>
      </c>
      <c r="AR3" s="44">
        <f t="shared" si="6"/>
        <v>271111.19000000006</v>
      </c>
      <c r="AS3" s="44">
        <f t="shared" si="6"/>
        <v>305452.43</v>
      </c>
      <c r="AT3" s="44">
        <f t="shared" si="6"/>
        <v>81577.36</v>
      </c>
      <c r="AU3" s="44">
        <f t="shared" si="6"/>
        <v>339689.57</v>
      </c>
      <c r="AV3" s="44">
        <f t="shared" si="6"/>
        <v>531504.59</v>
      </c>
      <c r="AW3" s="44">
        <f t="shared" si="6"/>
        <v>324280.42000000004</v>
      </c>
      <c r="AX3" s="44">
        <f t="shared" si="6"/>
        <v>367799.42</v>
      </c>
      <c r="AY3" s="44">
        <f t="shared" si="6"/>
        <v>744624.12</v>
      </c>
      <c r="AZ3" s="44">
        <f t="shared" si="6"/>
        <v>121224.08000000002</v>
      </c>
      <c r="BA3" s="44">
        <f t="shared" si="6"/>
        <v>58502.679999999986</v>
      </c>
      <c r="BB3" s="44">
        <f t="shared" si="6"/>
        <v>540098.29999999993</v>
      </c>
      <c r="BC3" s="44">
        <f t="shared" si="6"/>
        <v>31899.69</v>
      </c>
      <c r="BD3" s="44">
        <f t="shared" si="6"/>
        <v>303706.23999999999</v>
      </c>
      <c r="BE3" s="44">
        <f t="shared" si="6"/>
        <v>353968.6</v>
      </c>
      <c r="BF3" s="44">
        <f t="shared" si="6"/>
        <v>20867.840000000004</v>
      </c>
      <c r="BG3" s="44">
        <f t="shared" si="6"/>
        <v>660273.56000000006</v>
      </c>
      <c r="BH3" s="44">
        <f t="shared" si="6"/>
        <v>360672.31999999995</v>
      </c>
      <c r="BI3" s="44">
        <f t="shared" si="6"/>
        <v>306185.66000000003</v>
      </c>
      <c r="BJ3" s="44">
        <f t="shared" si="6"/>
        <v>666817.27999999991</v>
      </c>
      <c r="BK3" s="44">
        <f t="shared" si="6"/>
        <v>4335219.16</v>
      </c>
      <c r="BL3" s="44">
        <f t="shared" si="6"/>
        <v>3218836.7600000007</v>
      </c>
      <c r="BM3" s="44">
        <f t="shared" si="6"/>
        <v>3195203.0600011004</v>
      </c>
      <c r="BN3" s="44">
        <f t="shared" si="6"/>
        <v>70839.380000000034</v>
      </c>
      <c r="BO3" s="44">
        <f t="shared" si="6"/>
        <v>95816.159998900126</v>
      </c>
      <c r="BP3" s="44">
        <f t="shared" si="6"/>
        <v>166655.53999890015</v>
      </c>
      <c r="BQ3" s="44">
        <f t="shared" si="6"/>
        <v>179902.59999999998</v>
      </c>
      <c r="BR3" s="44">
        <f t="shared" si="6"/>
        <v>888136.46</v>
      </c>
      <c r="BS3" s="44">
        <f t="shared" si="6"/>
        <v>1068039.06</v>
      </c>
      <c r="BT3" s="44">
        <f t="shared" si="6"/>
        <v>475817.7</v>
      </c>
      <c r="BU3" s="44">
        <f t="shared" si="6"/>
        <v>166655.53999890015</v>
      </c>
      <c r="BV3" s="44">
        <f t="shared" si="6"/>
        <v>1068039.06</v>
      </c>
      <c r="BW3" s="44">
        <f t="shared" si="6"/>
        <v>1710512.2999988999</v>
      </c>
      <c r="BX3" s="1"/>
      <c r="BY3" s="1"/>
      <c r="BZ3" s="1"/>
      <c r="CA3" s="1"/>
      <c r="CB3" s="1"/>
      <c r="CC3" s="1"/>
      <c r="CD3" s="1"/>
      <c r="CE3" s="1"/>
      <c r="CF3" s="1"/>
      <c r="CG3" s="1"/>
    </row>
    <row r="4" spans="1:85" ht="21">
      <c r="A4" s="47"/>
      <c r="B4" s="48" t="s">
        <v>115</v>
      </c>
      <c r="C4" s="49"/>
      <c r="D4" s="50"/>
      <c r="E4" s="51">
        <f t="shared" ref="E4:H4" si="7">E5</f>
        <v>25000</v>
      </c>
      <c r="F4" s="52">
        <f t="shared" si="7"/>
        <v>0</v>
      </c>
      <c r="G4" s="52">
        <f t="shared" si="7"/>
        <v>25000</v>
      </c>
      <c r="H4" s="52">
        <f t="shared" si="7"/>
        <v>0</v>
      </c>
      <c r="I4" s="53">
        <f t="shared" si="1"/>
        <v>0.2009068</v>
      </c>
      <c r="J4" s="53">
        <f t="shared" si="2"/>
        <v>0.2009068</v>
      </c>
      <c r="K4" s="52">
        <f t="shared" ref="K4:W4" si="8">K5</f>
        <v>5022.67</v>
      </c>
      <c r="L4" s="52">
        <f t="shared" si="8"/>
        <v>0</v>
      </c>
      <c r="M4" s="52">
        <f t="shared" si="8"/>
        <v>0</v>
      </c>
      <c r="N4" s="52">
        <f t="shared" si="8"/>
        <v>0</v>
      </c>
      <c r="O4" s="52">
        <f t="shared" si="8"/>
        <v>5022.67</v>
      </c>
      <c r="P4" s="52">
        <f t="shared" si="8"/>
        <v>0</v>
      </c>
      <c r="Q4" s="52">
        <f t="shared" si="8"/>
        <v>0</v>
      </c>
      <c r="R4" s="52">
        <f t="shared" si="8"/>
        <v>5022.67</v>
      </c>
      <c r="S4" s="52">
        <f t="shared" si="8"/>
        <v>0</v>
      </c>
      <c r="T4" s="52">
        <f t="shared" si="8"/>
        <v>0</v>
      </c>
      <c r="U4" s="52">
        <f t="shared" si="8"/>
        <v>0</v>
      </c>
      <c r="V4" s="52">
        <f t="shared" si="8"/>
        <v>0</v>
      </c>
      <c r="W4" s="52">
        <f t="shared" si="8"/>
        <v>0</v>
      </c>
      <c r="X4" s="53">
        <f t="shared" ref="X4:Y4" si="9">IF(O4&gt;0,O4/K4,0)</f>
        <v>1</v>
      </c>
      <c r="Y4" s="53">
        <f t="shared" si="9"/>
        <v>0</v>
      </c>
      <c r="Z4" s="53">
        <f t="shared" si="5"/>
        <v>0</v>
      </c>
      <c r="AA4" s="52">
        <f t="shared" ref="AA4:BW4" si="10">AA5</f>
        <v>0</v>
      </c>
      <c r="AB4" s="52">
        <f t="shared" si="10"/>
        <v>0</v>
      </c>
      <c r="AC4" s="52">
        <f t="shared" si="10"/>
        <v>0</v>
      </c>
      <c r="AD4" s="52">
        <f t="shared" si="10"/>
        <v>106.08</v>
      </c>
      <c r="AE4" s="52">
        <f t="shared" si="10"/>
        <v>0</v>
      </c>
      <c r="AF4" s="52">
        <f t="shared" si="10"/>
        <v>0</v>
      </c>
      <c r="AG4" s="52">
        <f t="shared" si="10"/>
        <v>220.74</v>
      </c>
      <c r="AH4" s="52">
        <f t="shared" si="10"/>
        <v>0</v>
      </c>
      <c r="AI4" s="52">
        <f t="shared" si="10"/>
        <v>0</v>
      </c>
      <c r="AJ4" s="52">
        <f t="shared" si="10"/>
        <v>0</v>
      </c>
      <c r="AK4" s="52">
        <f t="shared" si="10"/>
        <v>0</v>
      </c>
      <c r="AL4" s="52">
        <f t="shared" si="10"/>
        <v>0</v>
      </c>
      <c r="AM4" s="52">
        <f t="shared" si="10"/>
        <v>84.93</v>
      </c>
      <c r="AN4" s="52">
        <f t="shared" si="10"/>
        <v>0</v>
      </c>
      <c r="AO4" s="52">
        <f t="shared" si="10"/>
        <v>0</v>
      </c>
      <c r="AP4" s="52">
        <f t="shared" si="10"/>
        <v>2225.6999999999998</v>
      </c>
      <c r="AQ4" s="52">
        <f t="shared" si="10"/>
        <v>0</v>
      </c>
      <c r="AR4" s="52">
        <f t="shared" si="10"/>
        <v>0</v>
      </c>
      <c r="AS4" s="52">
        <f t="shared" si="10"/>
        <v>129.63</v>
      </c>
      <c r="AT4" s="52">
        <f t="shared" si="10"/>
        <v>0</v>
      </c>
      <c r="AU4" s="52">
        <f t="shared" si="10"/>
        <v>0</v>
      </c>
      <c r="AV4" s="52">
        <f t="shared" si="10"/>
        <v>0</v>
      </c>
      <c r="AW4" s="52">
        <f t="shared" si="10"/>
        <v>0</v>
      </c>
      <c r="AX4" s="52">
        <f t="shared" si="10"/>
        <v>0</v>
      </c>
      <c r="AY4" s="52">
        <f t="shared" si="10"/>
        <v>259.02</v>
      </c>
      <c r="AZ4" s="52">
        <f t="shared" si="10"/>
        <v>0</v>
      </c>
      <c r="BA4" s="52">
        <f t="shared" si="10"/>
        <v>0</v>
      </c>
      <c r="BB4" s="52">
        <f t="shared" si="10"/>
        <v>943.42</v>
      </c>
      <c r="BC4" s="52">
        <f t="shared" si="10"/>
        <v>0</v>
      </c>
      <c r="BD4" s="52">
        <f t="shared" si="10"/>
        <v>0</v>
      </c>
      <c r="BE4" s="52">
        <f t="shared" si="10"/>
        <v>1592.49</v>
      </c>
      <c r="BF4" s="52">
        <f t="shared" si="10"/>
        <v>0</v>
      </c>
      <c r="BG4" s="52">
        <f t="shared" si="10"/>
        <v>0</v>
      </c>
      <c r="BH4" s="52">
        <f t="shared" si="10"/>
        <v>-539.33999999999992</v>
      </c>
      <c r="BI4" s="52">
        <f t="shared" si="10"/>
        <v>0</v>
      </c>
      <c r="BJ4" s="52">
        <f t="shared" si="10"/>
        <v>0</v>
      </c>
      <c r="BK4" s="52">
        <f t="shared" si="10"/>
        <v>5022.67</v>
      </c>
      <c r="BL4" s="52">
        <f t="shared" si="10"/>
        <v>0</v>
      </c>
      <c r="BM4" s="52">
        <f t="shared" si="10"/>
        <v>0</v>
      </c>
      <c r="BN4" s="52">
        <f t="shared" si="10"/>
        <v>2.2737367544323206E-13</v>
      </c>
      <c r="BO4" s="52">
        <f t="shared" si="10"/>
        <v>0</v>
      </c>
      <c r="BP4" s="52">
        <f t="shared" si="10"/>
        <v>2.2737367544323206E-13</v>
      </c>
      <c r="BQ4" s="52">
        <f t="shared" si="10"/>
        <v>0</v>
      </c>
      <c r="BR4" s="52">
        <f t="shared" si="10"/>
        <v>0</v>
      </c>
      <c r="BS4" s="52">
        <f t="shared" si="10"/>
        <v>0</v>
      </c>
      <c r="BT4" s="52">
        <f t="shared" si="10"/>
        <v>0</v>
      </c>
      <c r="BU4" s="52">
        <f t="shared" si="10"/>
        <v>2.2737367544323206E-13</v>
      </c>
      <c r="BV4" s="52">
        <f t="shared" si="10"/>
        <v>0</v>
      </c>
      <c r="BW4" s="52">
        <f t="shared" si="10"/>
        <v>2.2737367544323206E-13</v>
      </c>
      <c r="BX4" s="1"/>
      <c r="BY4" s="1"/>
      <c r="BZ4" s="1"/>
      <c r="CA4" s="1"/>
      <c r="CB4" s="1"/>
      <c r="CC4" s="1"/>
      <c r="CD4" s="1"/>
      <c r="CE4" s="1"/>
      <c r="CF4" s="1"/>
      <c r="CG4" s="1"/>
    </row>
    <row r="5" spans="1:85" ht="15.75">
      <c r="A5" s="54"/>
      <c r="B5" s="55"/>
      <c r="C5" s="56"/>
      <c r="D5" s="57" t="s">
        <v>116</v>
      </c>
      <c r="E5" s="58">
        <f t="shared" ref="E5:H5" si="11">SUM(E6:E8)</f>
        <v>25000</v>
      </c>
      <c r="F5" s="59">
        <f t="shared" si="11"/>
        <v>0</v>
      </c>
      <c r="G5" s="59">
        <f t="shared" si="11"/>
        <v>25000</v>
      </c>
      <c r="H5" s="59">
        <f t="shared" si="11"/>
        <v>0</v>
      </c>
      <c r="I5" s="60">
        <f t="shared" ref="I5:I8" si="12">IF(G5&gt;0,K5/G5,0)</f>
        <v>0.2009068</v>
      </c>
      <c r="J5" s="60">
        <f t="shared" ref="J5:J8" si="13">IF(G5&gt;0,O5/G5,0)</f>
        <v>0.2009068</v>
      </c>
      <c r="K5" s="61">
        <f t="shared" ref="K5:W5" si="14">SUM(K6:K8)</f>
        <v>5022.67</v>
      </c>
      <c r="L5" s="62">
        <f t="shared" si="14"/>
        <v>0</v>
      </c>
      <c r="M5" s="62">
        <f t="shared" si="14"/>
        <v>0</v>
      </c>
      <c r="N5" s="61">
        <f t="shared" si="14"/>
        <v>0</v>
      </c>
      <c r="O5" s="62">
        <f t="shared" si="14"/>
        <v>5022.67</v>
      </c>
      <c r="P5" s="62">
        <f t="shared" si="14"/>
        <v>0</v>
      </c>
      <c r="Q5" s="62">
        <f t="shared" si="14"/>
        <v>0</v>
      </c>
      <c r="R5" s="62">
        <f t="shared" si="14"/>
        <v>5022.67</v>
      </c>
      <c r="S5" s="62">
        <f t="shared" si="14"/>
        <v>0</v>
      </c>
      <c r="T5" s="62">
        <f t="shared" si="14"/>
        <v>0</v>
      </c>
      <c r="U5" s="61">
        <f t="shared" si="14"/>
        <v>0</v>
      </c>
      <c r="V5" s="61">
        <f t="shared" si="14"/>
        <v>0</v>
      </c>
      <c r="W5" s="61">
        <f t="shared" si="14"/>
        <v>0</v>
      </c>
      <c r="X5" s="63">
        <f t="shared" ref="X5:Y5" si="15">IF(O5&gt;0,O5/K5,0)</f>
        <v>1</v>
      </c>
      <c r="Y5" s="63">
        <f t="shared" si="15"/>
        <v>0</v>
      </c>
      <c r="Z5" s="63">
        <f t="shared" si="5"/>
        <v>0</v>
      </c>
      <c r="AA5" s="64">
        <f t="shared" ref="AA5:BW5" si="16">SUM(AA6:AA8)</f>
        <v>0</v>
      </c>
      <c r="AB5" s="64">
        <f t="shared" si="16"/>
        <v>0</v>
      </c>
      <c r="AC5" s="64">
        <f t="shared" si="16"/>
        <v>0</v>
      </c>
      <c r="AD5" s="64">
        <f t="shared" si="16"/>
        <v>106.08</v>
      </c>
      <c r="AE5" s="64">
        <f t="shared" si="16"/>
        <v>0</v>
      </c>
      <c r="AF5" s="64">
        <f t="shared" si="16"/>
        <v>0</v>
      </c>
      <c r="AG5" s="64">
        <f t="shared" si="16"/>
        <v>220.74</v>
      </c>
      <c r="AH5" s="64">
        <f t="shared" si="16"/>
        <v>0</v>
      </c>
      <c r="AI5" s="64">
        <f t="shared" si="16"/>
        <v>0</v>
      </c>
      <c r="AJ5" s="64">
        <f t="shared" si="16"/>
        <v>0</v>
      </c>
      <c r="AK5" s="64">
        <f t="shared" si="16"/>
        <v>0</v>
      </c>
      <c r="AL5" s="64">
        <f t="shared" si="16"/>
        <v>0</v>
      </c>
      <c r="AM5" s="64">
        <f t="shared" si="16"/>
        <v>84.93</v>
      </c>
      <c r="AN5" s="64">
        <f t="shared" si="16"/>
        <v>0</v>
      </c>
      <c r="AO5" s="64">
        <f t="shared" si="16"/>
        <v>0</v>
      </c>
      <c r="AP5" s="64">
        <f t="shared" si="16"/>
        <v>2225.6999999999998</v>
      </c>
      <c r="AQ5" s="64">
        <f t="shared" si="16"/>
        <v>0</v>
      </c>
      <c r="AR5" s="64">
        <f t="shared" si="16"/>
        <v>0</v>
      </c>
      <c r="AS5" s="64">
        <f t="shared" si="16"/>
        <v>129.63</v>
      </c>
      <c r="AT5" s="64">
        <f t="shared" si="16"/>
        <v>0</v>
      </c>
      <c r="AU5" s="64">
        <f t="shared" si="16"/>
        <v>0</v>
      </c>
      <c r="AV5" s="64">
        <f t="shared" si="16"/>
        <v>0</v>
      </c>
      <c r="AW5" s="64">
        <f t="shared" si="16"/>
        <v>0</v>
      </c>
      <c r="AX5" s="64">
        <f t="shared" si="16"/>
        <v>0</v>
      </c>
      <c r="AY5" s="64">
        <f t="shared" si="16"/>
        <v>259.02</v>
      </c>
      <c r="AZ5" s="64">
        <f t="shared" si="16"/>
        <v>0</v>
      </c>
      <c r="BA5" s="64">
        <f t="shared" si="16"/>
        <v>0</v>
      </c>
      <c r="BB5" s="64">
        <f t="shared" si="16"/>
        <v>943.42</v>
      </c>
      <c r="BC5" s="64">
        <f t="shared" si="16"/>
        <v>0</v>
      </c>
      <c r="BD5" s="64">
        <f t="shared" si="16"/>
        <v>0</v>
      </c>
      <c r="BE5" s="64">
        <f t="shared" si="16"/>
        <v>1592.49</v>
      </c>
      <c r="BF5" s="64">
        <f t="shared" si="16"/>
        <v>0</v>
      </c>
      <c r="BG5" s="64">
        <f t="shared" si="16"/>
        <v>0</v>
      </c>
      <c r="BH5" s="64">
        <f t="shared" si="16"/>
        <v>-539.33999999999992</v>
      </c>
      <c r="BI5" s="64">
        <f t="shared" si="16"/>
        <v>0</v>
      </c>
      <c r="BJ5" s="64">
        <f t="shared" si="16"/>
        <v>0</v>
      </c>
      <c r="BK5" s="64">
        <f t="shared" si="16"/>
        <v>5022.67</v>
      </c>
      <c r="BL5" s="64">
        <f t="shared" si="16"/>
        <v>0</v>
      </c>
      <c r="BM5" s="64">
        <f t="shared" si="16"/>
        <v>0</v>
      </c>
      <c r="BN5" s="64">
        <f t="shared" si="16"/>
        <v>2.2737367544323206E-13</v>
      </c>
      <c r="BO5" s="64">
        <f t="shared" si="16"/>
        <v>0</v>
      </c>
      <c r="BP5" s="64">
        <f t="shared" si="16"/>
        <v>2.2737367544323206E-13</v>
      </c>
      <c r="BQ5" s="64">
        <f t="shared" si="16"/>
        <v>0</v>
      </c>
      <c r="BR5" s="64">
        <f t="shared" si="16"/>
        <v>0</v>
      </c>
      <c r="BS5" s="64">
        <f t="shared" si="16"/>
        <v>0</v>
      </c>
      <c r="BT5" s="64">
        <f t="shared" si="16"/>
        <v>0</v>
      </c>
      <c r="BU5" s="64">
        <f t="shared" si="16"/>
        <v>2.2737367544323206E-13</v>
      </c>
      <c r="BV5" s="64">
        <f t="shared" si="16"/>
        <v>0</v>
      </c>
      <c r="BW5" s="64">
        <f t="shared" si="16"/>
        <v>2.2737367544323206E-13</v>
      </c>
      <c r="BX5" s="65"/>
      <c r="BY5" s="65"/>
      <c r="BZ5" s="65"/>
      <c r="CA5" s="65"/>
      <c r="CB5" s="65"/>
      <c r="CC5" s="65"/>
      <c r="CD5" s="65"/>
      <c r="CE5" s="65"/>
      <c r="CF5" s="65"/>
      <c r="CG5" s="65"/>
    </row>
    <row r="6" spans="1:85" ht="15.75">
      <c r="A6" s="66" t="s">
        <v>117</v>
      </c>
      <c r="B6" s="67"/>
      <c r="C6" s="68" t="s">
        <v>118</v>
      </c>
      <c r="D6" s="69" t="s">
        <v>119</v>
      </c>
      <c r="E6" s="70">
        <f>5000+8000</f>
        <v>13000</v>
      </c>
      <c r="F6" s="71">
        <v>0</v>
      </c>
      <c r="G6" s="71">
        <f t="shared" ref="G6:G8" si="17">E6-F6</f>
        <v>13000</v>
      </c>
      <c r="H6" s="70"/>
      <c r="I6" s="72">
        <f t="shared" si="12"/>
        <v>0.29377461538461536</v>
      </c>
      <c r="J6" s="72">
        <f t="shared" si="13"/>
        <v>0.29377461538461536</v>
      </c>
      <c r="K6" s="73">
        <f>3000+500+2000+5.92-1147.51-539.34</f>
        <v>3819.0699999999997</v>
      </c>
      <c r="L6" s="74"/>
      <c r="M6" s="75"/>
      <c r="N6" s="76"/>
      <c r="O6" s="77">
        <f t="shared" ref="O6:Q6" si="18">AA6+AD6+AG6+AJ6+AM6+AP6+AS6+AV6+AY6+BB6+BE6+BH6</f>
        <v>3819.0699999999997</v>
      </c>
      <c r="P6" s="77">
        <f t="shared" si="18"/>
        <v>0</v>
      </c>
      <c r="Q6" s="77">
        <f t="shared" si="18"/>
        <v>0</v>
      </c>
      <c r="R6" s="77">
        <f t="shared" ref="R6:T6" si="19">IF(BK6=0,SUM(AA6+AD6+AG6+AJ6+AM6+AP6+AS6+AV6+AY6+BB6+BE6+BH6),BK6)</f>
        <v>3819.07</v>
      </c>
      <c r="S6" s="77">
        <f t="shared" si="19"/>
        <v>0</v>
      </c>
      <c r="T6" s="77">
        <f t="shared" si="19"/>
        <v>0</v>
      </c>
      <c r="U6" s="78">
        <f t="shared" ref="U6:U8" si="20">K6-O6</f>
        <v>0</v>
      </c>
      <c r="V6" s="79">
        <f t="shared" ref="V6:V8" si="21">L6-M6-S6</f>
        <v>0</v>
      </c>
      <c r="W6" s="79">
        <f t="shared" ref="W6:W8" si="22">N6-Q6</f>
        <v>0</v>
      </c>
      <c r="X6" s="80">
        <f t="shared" ref="X6:Y6" si="23">IF(O6&gt;0,O6/K6,0)</f>
        <v>1</v>
      </c>
      <c r="Y6" s="80">
        <f t="shared" si="23"/>
        <v>0</v>
      </c>
      <c r="Z6" s="80">
        <f t="shared" si="5"/>
        <v>0</v>
      </c>
      <c r="AA6" s="81"/>
      <c r="AB6" s="81"/>
      <c r="AC6" s="81"/>
      <c r="AD6" s="82">
        <v>106.08</v>
      </c>
      <c r="AE6" s="83"/>
      <c r="AF6" s="83"/>
      <c r="AG6" s="83">
        <f>67.68+67.68+85.38</f>
        <v>220.74</v>
      </c>
      <c r="AH6" s="83"/>
      <c r="AI6" s="81"/>
      <c r="AJ6" s="81"/>
      <c r="AK6" s="81"/>
      <c r="AL6" s="81"/>
      <c r="AM6" s="82">
        <v>84.93</v>
      </c>
      <c r="AN6" s="81"/>
      <c r="AO6" s="81"/>
      <c r="AP6" s="81">
        <f>741.9*3</f>
        <v>2225.6999999999998</v>
      </c>
      <c r="AQ6" s="81"/>
      <c r="AR6" s="81"/>
      <c r="AS6" s="82">
        <v>129.63</v>
      </c>
      <c r="AT6" s="81"/>
      <c r="AU6" s="81"/>
      <c r="AV6" s="81"/>
      <c r="AW6" s="81"/>
      <c r="AX6" s="81"/>
      <c r="AY6" s="82">
        <v>108.57</v>
      </c>
      <c r="AZ6" s="81"/>
      <c r="BA6" s="81"/>
      <c r="BB6" s="81">
        <f>471.71+471.71</f>
        <v>943.42</v>
      </c>
      <c r="BC6" s="81"/>
      <c r="BD6" s="81"/>
      <c r="BE6" s="81">
        <f>129.63+409.71</f>
        <v>539.33999999999992</v>
      </c>
      <c r="BF6" s="81"/>
      <c r="BG6" s="81"/>
      <c r="BH6" s="81">
        <f>-129.63-409.71</f>
        <v>-539.33999999999992</v>
      </c>
      <c r="BI6" s="81"/>
      <c r="BJ6" s="81"/>
      <c r="BK6" s="82">
        <v>3819.07</v>
      </c>
      <c r="BL6" s="82">
        <v>0</v>
      </c>
      <c r="BM6" s="82">
        <v>0</v>
      </c>
      <c r="BN6" s="81">
        <f t="shared" ref="BN6:BN8" si="24">IF(O6-BK6&gt;0,O6-BK6,0)</f>
        <v>0</v>
      </c>
      <c r="BO6" s="75">
        <f t="shared" ref="BO6:BO8" si="25">IF(Q6-BM6&gt;0,Q6-BM6,0)</f>
        <v>0</v>
      </c>
      <c r="BP6" s="81">
        <f t="shared" ref="BP6:BP8" si="26">IF(BN6+BO6&gt;0,BN6+BO6,0)</f>
        <v>0</v>
      </c>
      <c r="BQ6" s="81">
        <f t="shared" ref="BQ6:BQ8" si="27">IF(U6=0,0,U6)</f>
        <v>0</v>
      </c>
      <c r="BR6" s="81">
        <f t="shared" ref="BR6:BR8" si="28">IF(W6=0,0,W6)</f>
        <v>0</v>
      </c>
      <c r="BS6" s="81">
        <f t="shared" ref="BS6:BS8" si="29">IF(BQ6+BR6&gt;0,BQ6+BR6,0)</f>
        <v>0</v>
      </c>
      <c r="BT6" s="81">
        <f t="shared" ref="BT6:BT8" si="30">IF(V6&gt;0,V6,0)</f>
        <v>0</v>
      </c>
      <c r="BU6" s="81">
        <f t="shared" ref="BU6:BU8" si="31">IF(BP6=0,0,BP6)</f>
        <v>0</v>
      </c>
      <c r="BV6" s="81">
        <f t="shared" ref="BV6:BV8" si="32">IF(BS6=0,0,BS6)</f>
        <v>0</v>
      </c>
      <c r="BW6" s="81">
        <f t="shared" ref="BW6:BW8" si="33">IF(BP6+BT6+BV6&gt;0,BP6+BT6+BV6,0)</f>
        <v>0</v>
      </c>
      <c r="BX6" s="1"/>
      <c r="BY6" s="1"/>
      <c r="BZ6" s="1"/>
      <c r="CA6" s="1"/>
      <c r="CB6" s="1"/>
      <c r="CC6" s="1"/>
      <c r="CD6" s="1"/>
      <c r="CE6" s="1"/>
      <c r="CF6" s="1"/>
      <c r="CG6" s="1"/>
    </row>
    <row r="7" spans="1:85" ht="15.75">
      <c r="A7" s="84"/>
      <c r="B7" s="85"/>
      <c r="C7" s="86" t="s">
        <v>120</v>
      </c>
      <c r="D7" s="87" t="s">
        <v>121</v>
      </c>
      <c r="E7" s="70">
        <v>10000</v>
      </c>
      <c r="F7" s="71"/>
      <c r="G7" s="71">
        <f t="shared" si="17"/>
        <v>10000</v>
      </c>
      <c r="H7" s="70"/>
      <c r="I7" s="72">
        <f t="shared" si="12"/>
        <v>0</v>
      </c>
      <c r="J7" s="72">
        <f t="shared" si="13"/>
        <v>0</v>
      </c>
      <c r="K7" s="88"/>
      <c r="L7" s="74"/>
      <c r="M7" s="75"/>
      <c r="N7" s="76"/>
      <c r="O7" s="77">
        <f t="shared" ref="O7:Q7" si="34">AA7+AD7+AG7+AJ7+AM7+AP7+AS7+AV7+AY7+BB7+BE7+BH7</f>
        <v>0</v>
      </c>
      <c r="P7" s="77">
        <f t="shared" si="34"/>
        <v>0</v>
      </c>
      <c r="Q7" s="77">
        <f t="shared" si="34"/>
        <v>0</v>
      </c>
      <c r="R7" s="77">
        <f t="shared" ref="R7:T7" si="35">IF(BK7=0,SUM(AA7+AD7+AG7+AJ7+AM7+AP7+AS7+AV7+AY7+BB7+BE7+BH7),BK7)</f>
        <v>0</v>
      </c>
      <c r="S7" s="77">
        <f t="shared" si="35"/>
        <v>0</v>
      </c>
      <c r="T7" s="77">
        <f t="shared" si="35"/>
        <v>0</v>
      </c>
      <c r="U7" s="79">
        <f t="shared" si="20"/>
        <v>0</v>
      </c>
      <c r="V7" s="79">
        <f t="shared" si="21"/>
        <v>0</v>
      </c>
      <c r="W7" s="79">
        <f t="shared" si="22"/>
        <v>0</v>
      </c>
      <c r="X7" s="80">
        <f t="shared" ref="X7:Y7" si="36">IF(O7&gt;0,O7/K7,0)</f>
        <v>0</v>
      </c>
      <c r="Y7" s="80">
        <f t="shared" si="36"/>
        <v>0</v>
      </c>
      <c r="Z7" s="80">
        <f t="shared" si="5"/>
        <v>0</v>
      </c>
      <c r="AA7" s="81"/>
      <c r="AB7" s="81"/>
      <c r="AC7" s="81"/>
      <c r="AD7" s="81"/>
      <c r="AE7" s="83"/>
      <c r="AF7" s="83"/>
      <c r="AG7" s="83"/>
      <c r="AH7" s="83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2">
        <v>0</v>
      </c>
      <c r="BL7" s="82">
        <v>0</v>
      </c>
      <c r="BM7" s="82">
        <v>0</v>
      </c>
      <c r="BN7" s="81">
        <f t="shared" si="24"/>
        <v>0</v>
      </c>
      <c r="BO7" s="75">
        <f t="shared" si="25"/>
        <v>0</v>
      </c>
      <c r="BP7" s="81">
        <f t="shared" si="26"/>
        <v>0</v>
      </c>
      <c r="BQ7" s="81">
        <f t="shared" si="27"/>
        <v>0</v>
      </c>
      <c r="BR7" s="81">
        <f t="shared" si="28"/>
        <v>0</v>
      </c>
      <c r="BS7" s="81">
        <f t="shared" si="29"/>
        <v>0</v>
      </c>
      <c r="BT7" s="81">
        <f t="shared" si="30"/>
        <v>0</v>
      </c>
      <c r="BU7" s="81">
        <f t="shared" si="31"/>
        <v>0</v>
      </c>
      <c r="BV7" s="81">
        <f t="shared" si="32"/>
        <v>0</v>
      </c>
      <c r="BW7" s="81">
        <f t="shared" si="33"/>
        <v>0</v>
      </c>
      <c r="BX7" s="1"/>
      <c r="BY7" s="1"/>
      <c r="BZ7" s="1"/>
      <c r="CA7" s="1"/>
      <c r="CB7" s="1"/>
      <c r="CC7" s="1"/>
      <c r="CD7" s="1"/>
      <c r="CE7" s="1"/>
      <c r="CF7" s="1"/>
      <c r="CG7" s="1"/>
    </row>
    <row r="8" spans="1:85" ht="15.75" customHeight="1">
      <c r="A8" s="89" t="s">
        <v>122</v>
      </c>
      <c r="B8" s="90"/>
      <c r="C8" s="91" t="s">
        <v>123</v>
      </c>
      <c r="D8" s="92" t="s">
        <v>124</v>
      </c>
      <c r="E8" s="70">
        <v>2000</v>
      </c>
      <c r="F8" s="93">
        <v>0</v>
      </c>
      <c r="G8" s="71">
        <f t="shared" si="17"/>
        <v>2000</v>
      </c>
      <c r="H8" s="70"/>
      <c r="I8" s="72">
        <f t="shared" si="12"/>
        <v>0.6018</v>
      </c>
      <c r="J8" s="72">
        <f t="shared" si="13"/>
        <v>0.60180000000000011</v>
      </c>
      <c r="K8" s="94">
        <f>500+500+500-296.4</f>
        <v>1203.5999999999999</v>
      </c>
      <c r="L8" s="74"/>
      <c r="M8" s="75"/>
      <c r="N8" s="76"/>
      <c r="O8" s="77">
        <f t="shared" ref="O8:Q8" si="37">AA8+AD8+AG8+AJ8+AM8+AP8+AS8+AV8+AY8+BB8+BE8+BH8</f>
        <v>1203.6000000000001</v>
      </c>
      <c r="P8" s="77">
        <f t="shared" si="37"/>
        <v>0</v>
      </c>
      <c r="Q8" s="77">
        <f t="shared" si="37"/>
        <v>0</v>
      </c>
      <c r="R8" s="77">
        <f t="shared" ref="R8:T8" si="38">IF(BK8=0,SUM(AA8+AD8+AG8+AJ8+AM8+AP8+AS8+AV8+AY8+BB8+BE8+BH8),BK8)</f>
        <v>1203.5999999999999</v>
      </c>
      <c r="S8" s="77">
        <f t="shared" si="38"/>
        <v>0</v>
      </c>
      <c r="T8" s="77">
        <f t="shared" si="38"/>
        <v>0</v>
      </c>
      <c r="U8" s="78">
        <f t="shared" si="20"/>
        <v>0</v>
      </c>
      <c r="V8" s="79">
        <f t="shared" si="21"/>
        <v>0</v>
      </c>
      <c r="W8" s="79">
        <f t="shared" si="22"/>
        <v>0</v>
      </c>
      <c r="X8" s="80">
        <f t="shared" ref="X8:Y8" si="39">IF(O8&gt;0,O8/K8,0)</f>
        <v>1.0000000000000002</v>
      </c>
      <c r="Y8" s="80">
        <f t="shared" si="39"/>
        <v>0</v>
      </c>
      <c r="Z8" s="80">
        <f t="shared" si="5"/>
        <v>0</v>
      </c>
      <c r="AA8" s="81"/>
      <c r="AB8" s="81"/>
      <c r="AC8" s="81"/>
      <c r="AD8" s="81"/>
      <c r="AE8" s="83"/>
      <c r="AF8" s="83"/>
      <c r="AG8" s="83"/>
      <c r="AH8" s="83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2">
        <v>150.44999999999999</v>
      </c>
      <c r="AZ8" s="81"/>
      <c r="BA8" s="81"/>
      <c r="BB8" s="81"/>
      <c r="BC8" s="81"/>
      <c r="BD8" s="81"/>
      <c r="BE8" s="81">
        <f>(150.45*4)+451.35</f>
        <v>1053.1500000000001</v>
      </c>
      <c r="BF8" s="81"/>
      <c r="BG8" s="81"/>
      <c r="BH8" s="81"/>
      <c r="BI8" s="81"/>
      <c r="BJ8" s="81"/>
      <c r="BK8" s="82">
        <v>1203.5999999999999</v>
      </c>
      <c r="BL8" s="82">
        <v>0</v>
      </c>
      <c r="BM8" s="82">
        <v>0</v>
      </c>
      <c r="BN8" s="81">
        <f t="shared" si="24"/>
        <v>2.2737367544323206E-13</v>
      </c>
      <c r="BO8" s="75">
        <f t="shared" si="25"/>
        <v>0</v>
      </c>
      <c r="BP8" s="81">
        <f t="shared" si="26"/>
        <v>2.2737367544323206E-13</v>
      </c>
      <c r="BQ8" s="81">
        <f t="shared" si="27"/>
        <v>0</v>
      </c>
      <c r="BR8" s="81">
        <f t="shared" si="28"/>
        <v>0</v>
      </c>
      <c r="BS8" s="81">
        <f t="shared" si="29"/>
        <v>0</v>
      </c>
      <c r="BT8" s="81">
        <f t="shared" si="30"/>
        <v>0</v>
      </c>
      <c r="BU8" s="81">
        <f t="shared" si="31"/>
        <v>2.2737367544323206E-13</v>
      </c>
      <c r="BV8" s="81">
        <f t="shared" si="32"/>
        <v>0</v>
      </c>
      <c r="BW8" s="81">
        <f t="shared" si="33"/>
        <v>2.2737367544323206E-13</v>
      </c>
      <c r="BX8" s="1"/>
      <c r="BY8" s="1"/>
      <c r="BZ8" s="1"/>
      <c r="CA8" s="1"/>
      <c r="CB8" s="1"/>
      <c r="CC8" s="1"/>
      <c r="CD8" s="1"/>
      <c r="CE8" s="1"/>
      <c r="CF8" s="1"/>
      <c r="CG8" s="1"/>
    </row>
    <row r="9" spans="1:85" ht="21">
      <c r="A9" s="95"/>
      <c r="B9" s="96" t="s">
        <v>125</v>
      </c>
      <c r="C9" s="97"/>
      <c r="D9" s="98"/>
      <c r="E9" s="51">
        <f t="shared" ref="E9:H9" si="40">E10+E127</f>
        <v>2262546.77</v>
      </c>
      <c r="F9" s="51">
        <f t="shared" si="40"/>
        <v>175357.14</v>
      </c>
      <c r="G9" s="51">
        <f t="shared" si="40"/>
        <v>2087189.63</v>
      </c>
      <c r="H9" s="51">
        <f t="shared" si="40"/>
        <v>6710000</v>
      </c>
      <c r="I9" s="99">
        <f>K9/G9</f>
        <v>0.98390117528516086</v>
      </c>
      <c r="J9" s="99">
        <f>O9/G9</f>
        <v>0.96439990936520703</v>
      </c>
      <c r="K9" s="51">
        <f t="shared" ref="K9:W9" si="41">K10+K127</f>
        <v>2053588.3299999998</v>
      </c>
      <c r="L9" s="51">
        <f t="shared" si="41"/>
        <v>976501.94999999984</v>
      </c>
      <c r="M9" s="51">
        <f t="shared" si="41"/>
        <v>55753.71</v>
      </c>
      <c r="N9" s="51">
        <f t="shared" si="41"/>
        <v>250958.1</v>
      </c>
      <c r="O9" s="51">
        <f t="shared" si="41"/>
        <v>2012885.49</v>
      </c>
      <c r="P9" s="51">
        <f t="shared" si="41"/>
        <v>764999.56</v>
      </c>
      <c r="Q9" s="51">
        <f t="shared" si="41"/>
        <v>132170.1</v>
      </c>
      <c r="R9" s="51">
        <f t="shared" si="41"/>
        <v>1947260.43</v>
      </c>
      <c r="S9" s="51">
        <f t="shared" si="41"/>
        <v>759810.56000000006</v>
      </c>
      <c r="T9" s="51">
        <f t="shared" si="41"/>
        <v>116652.64</v>
      </c>
      <c r="U9" s="51">
        <f t="shared" si="41"/>
        <v>40702.839999999997</v>
      </c>
      <c r="V9" s="51">
        <f t="shared" si="41"/>
        <v>160937.68</v>
      </c>
      <c r="W9" s="51">
        <f t="shared" si="41"/>
        <v>118788</v>
      </c>
      <c r="X9" s="53">
        <f t="shared" ref="X9:Y9" si="42">IF(O9&gt;0,O9/K9,0)</f>
        <v>0.98017964973534888</v>
      </c>
      <c r="Y9" s="53">
        <f t="shared" si="42"/>
        <v>0.78340812325054776</v>
      </c>
      <c r="Z9" s="53">
        <f t="shared" si="5"/>
        <v>0.52666202047274024</v>
      </c>
      <c r="AA9" s="51">
        <f t="shared" ref="AA9:BW9" si="43">AA10+AA127</f>
        <v>0</v>
      </c>
      <c r="AB9" s="51">
        <f t="shared" si="43"/>
        <v>188527.08</v>
      </c>
      <c r="AC9" s="51">
        <f t="shared" si="43"/>
        <v>0</v>
      </c>
      <c r="AD9" s="51">
        <f t="shared" si="43"/>
        <v>735.98</v>
      </c>
      <c r="AE9" s="51">
        <f t="shared" si="43"/>
        <v>115281.23000000001</v>
      </c>
      <c r="AF9" s="51">
        <f t="shared" si="43"/>
        <v>0</v>
      </c>
      <c r="AG9" s="51">
        <f t="shared" si="43"/>
        <v>50448.84</v>
      </c>
      <c r="AH9" s="51">
        <f t="shared" si="43"/>
        <v>154033.16999999998</v>
      </c>
      <c r="AI9" s="51">
        <f t="shared" si="43"/>
        <v>0</v>
      </c>
      <c r="AJ9" s="51">
        <f t="shared" si="43"/>
        <v>54145.17</v>
      </c>
      <c r="AK9" s="51">
        <f t="shared" si="43"/>
        <v>128955.91</v>
      </c>
      <c r="AL9" s="51">
        <f t="shared" si="43"/>
        <v>0</v>
      </c>
      <c r="AM9" s="51">
        <f t="shared" si="43"/>
        <v>111434.4</v>
      </c>
      <c r="AN9" s="51">
        <f t="shared" si="43"/>
        <v>72362.27999999997</v>
      </c>
      <c r="AO9" s="51">
        <f t="shared" si="43"/>
        <v>0</v>
      </c>
      <c r="AP9" s="51">
        <f t="shared" si="43"/>
        <v>183338.62</v>
      </c>
      <c r="AQ9" s="51">
        <f t="shared" si="43"/>
        <v>75136.429999999993</v>
      </c>
      <c r="AR9" s="51">
        <f t="shared" si="43"/>
        <v>0</v>
      </c>
      <c r="AS9" s="51">
        <f t="shared" si="43"/>
        <v>139332.01</v>
      </c>
      <c r="AT9" s="51">
        <f t="shared" si="43"/>
        <v>300.14999999999998</v>
      </c>
      <c r="AU9" s="51">
        <f t="shared" si="43"/>
        <v>0</v>
      </c>
      <c r="AV9" s="51">
        <f t="shared" si="43"/>
        <v>285354.00000000006</v>
      </c>
      <c r="AW9" s="51">
        <f t="shared" si="43"/>
        <v>7211.7599999999993</v>
      </c>
      <c r="AX9" s="51">
        <f t="shared" si="43"/>
        <v>0</v>
      </c>
      <c r="AY9" s="51">
        <f t="shared" si="43"/>
        <v>544214.20000000007</v>
      </c>
      <c r="AZ9" s="51">
        <f t="shared" si="43"/>
        <v>18477.760000000006</v>
      </c>
      <c r="BA9" s="51">
        <f t="shared" si="43"/>
        <v>0</v>
      </c>
      <c r="BB9" s="51">
        <f t="shared" si="43"/>
        <v>277779.32</v>
      </c>
      <c r="BC9" s="51">
        <f t="shared" si="43"/>
        <v>374.39</v>
      </c>
      <c r="BD9" s="51">
        <f t="shared" si="43"/>
        <v>0</v>
      </c>
      <c r="BE9" s="51">
        <f t="shared" si="43"/>
        <v>136651.76999999999</v>
      </c>
      <c r="BF9" s="51">
        <f t="shared" si="43"/>
        <v>126.9</v>
      </c>
      <c r="BG9" s="51">
        <f t="shared" si="43"/>
        <v>50272.959999999999</v>
      </c>
      <c r="BH9" s="51">
        <f t="shared" si="43"/>
        <v>229451.18</v>
      </c>
      <c r="BI9" s="51">
        <f t="shared" si="43"/>
        <v>4212.5</v>
      </c>
      <c r="BJ9" s="51">
        <f t="shared" si="43"/>
        <v>81897.14</v>
      </c>
      <c r="BK9" s="51">
        <f t="shared" si="43"/>
        <v>1947260.43</v>
      </c>
      <c r="BL9" s="51">
        <f t="shared" si="43"/>
        <v>759810.56000000006</v>
      </c>
      <c r="BM9" s="51">
        <f t="shared" si="43"/>
        <v>116652.64</v>
      </c>
      <c r="BN9" s="51">
        <f t="shared" si="43"/>
        <v>65625.06</v>
      </c>
      <c r="BO9" s="51">
        <f t="shared" si="43"/>
        <v>15517.46</v>
      </c>
      <c r="BP9" s="51">
        <f t="shared" si="43"/>
        <v>81142.51999999999</v>
      </c>
      <c r="BQ9" s="51">
        <f t="shared" si="43"/>
        <v>40702.839999999997</v>
      </c>
      <c r="BR9" s="51">
        <f t="shared" si="43"/>
        <v>118788</v>
      </c>
      <c r="BS9" s="51">
        <f t="shared" si="43"/>
        <v>159490.84</v>
      </c>
      <c r="BT9" s="51">
        <f t="shared" si="43"/>
        <v>160937.68</v>
      </c>
      <c r="BU9" s="51">
        <f t="shared" si="43"/>
        <v>81142.51999999999</v>
      </c>
      <c r="BV9" s="51">
        <f t="shared" si="43"/>
        <v>159490.84</v>
      </c>
      <c r="BW9" s="51">
        <f t="shared" si="43"/>
        <v>401571.04000000004</v>
      </c>
      <c r="BX9" s="1"/>
      <c r="BY9" s="1"/>
      <c r="BZ9" s="1"/>
      <c r="CA9" s="1"/>
      <c r="CB9" s="1"/>
      <c r="CC9" s="1"/>
      <c r="CD9" s="1"/>
      <c r="CE9" s="1"/>
      <c r="CF9" s="1"/>
      <c r="CG9" s="1"/>
    </row>
    <row r="10" spans="1:85" ht="15.75" customHeight="1">
      <c r="A10" s="100"/>
      <c r="B10" s="101"/>
      <c r="C10" s="102"/>
      <c r="D10" s="103" t="s">
        <v>126</v>
      </c>
      <c r="E10" s="104">
        <f t="shared" ref="E10:H10" si="44">E11+E14+E64+E76+E104+E108+E113+E118+E120+E122</f>
        <v>2262546.77</v>
      </c>
      <c r="F10" s="104">
        <f t="shared" si="44"/>
        <v>175357.14</v>
      </c>
      <c r="G10" s="104">
        <f t="shared" si="44"/>
        <v>2087189.63</v>
      </c>
      <c r="H10" s="104">
        <f t="shared" si="44"/>
        <v>0</v>
      </c>
      <c r="I10" s="105">
        <f t="shared" ref="I10:I164" si="45">IF(G10&gt;0,K10/G10,0)</f>
        <v>0.98390117528516086</v>
      </c>
      <c r="J10" s="105">
        <f t="shared" ref="J10:J164" si="46">IF(G10&gt;0,O10/G10,0)</f>
        <v>0.96439990936520703</v>
      </c>
      <c r="K10" s="104">
        <f t="shared" ref="K10:W10" si="47">K11+K14+K64+K76+K104+K108+K113+K118+K120+K122</f>
        <v>2053588.3299999998</v>
      </c>
      <c r="L10" s="104">
        <f t="shared" si="47"/>
        <v>976501.94999999984</v>
      </c>
      <c r="M10" s="104">
        <f t="shared" si="47"/>
        <v>55753.71</v>
      </c>
      <c r="N10" s="104">
        <f t="shared" si="47"/>
        <v>0</v>
      </c>
      <c r="O10" s="104">
        <f t="shared" si="47"/>
        <v>2012885.49</v>
      </c>
      <c r="P10" s="104">
        <f t="shared" si="47"/>
        <v>764999.56</v>
      </c>
      <c r="Q10" s="104">
        <f t="shared" si="47"/>
        <v>0</v>
      </c>
      <c r="R10" s="104">
        <f t="shared" si="47"/>
        <v>1947260.43</v>
      </c>
      <c r="S10" s="104">
        <f t="shared" si="47"/>
        <v>759810.56000000006</v>
      </c>
      <c r="T10" s="104">
        <f t="shared" si="47"/>
        <v>0</v>
      </c>
      <c r="U10" s="104">
        <f t="shared" si="47"/>
        <v>40702.839999999997</v>
      </c>
      <c r="V10" s="104">
        <f t="shared" si="47"/>
        <v>160937.68</v>
      </c>
      <c r="W10" s="104">
        <f t="shared" si="47"/>
        <v>0</v>
      </c>
      <c r="X10" s="106">
        <f t="shared" ref="X10:Y10" si="48">IF(O10&gt;0,O10/K10,0)</f>
        <v>0.98017964973534888</v>
      </c>
      <c r="Y10" s="106">
        <f t="shared" si="48"/>
        <v>0.78340812325054776</v>
      </c>
      <c r="Z10" s="106">
        <f t="shared" si="5"/>
        <v>0</v>
      </c>
      <c r="AA10" s="104">
        <f t="shared" ref="AA10:BW10" si="49">AA11+AA14+AA64+AA76+AA104+AA108+AA113+AA118+AA120+AA122</f>
        <v>0</v>
      </c>
      <c r="AB10" s="104">
        <f t="shared" si="49"/>
        <v>188527.08</v>
      </c>
      <c r="AC10" s="104">
        <f t="shared" si="49"/>
        <v>0</v>
      </c>
      <c r="AD10" s="104">
        <f t="shared" si="49"/>
        <v>735.98</v>
      </c>
      <c r="AE10" s="104">
        <f t="shared" si="49"/>
        <v>115281.23000000001</v>
      </c>
      <c r="AF10" s="104">
        <f t="shared" si="49"/>
        <v>0</v>
      </c>
      <c r="AG10" s="104">
        <f t="shared" si="49"/>
        <v>50448.84</v>
      </c>
      <c r="AH10" s="104">
        <f t="shared" si="49"/>
        <v>154033.16999999998</v>
      </c>
      <c r="AI10" s="104">
        <f t="shared" si="49"/>
        <v>0</v>
      </c>
      <c r="AJ10" s="104">
        <f t="shared" si="49"/>
        <v>54145.17</v>
      </c>
      <c r="AK10" s="104">
        <f t="shared" si="49"/>
        <v>128955.91</v>
      </c>
      <c r="AL10" s="104">
        <f t="shared" si="49"/>
        <v>0</v>
      </c>
      <c r="AM10" s="104">
        <f t="shared" si="49"/>
        <v>111434.4</v>
      </c>
      <c r="AN10" s="104">
        <f t="shared" si="49"/>
        <v>72362.27999999997</v>
      </c>
      <c r="AO10" s="104">
        <f t="shared" si="49"/>
        <v>0</v>
      </c>
      <c r="AP10" s="104">
        <f t="shared" si="49"/>
        <v>183338.62</v>
      </c>
      <c r="AQ10" s="104">
        <f t="shared" si="49"/>
        <v>75136.429999999993</v>
      </c>
      <c r="AR10" s="104">
        <f t="shared" si="49"/>
        <v>0</v>
      </c>
      <c r="AS10" s="104">
        <f t="shared" si="49"/>
        <v>139332.01</v>
      </c>
      <c r="AT10" s="104">
        <f t="shared" si="49"/>
        <v>300.14999999999998</v>
      </c>
      <c r="AU10" s="104">
        <f t="shared" si="49"/>
        <v>0</v>
      </c>
      <c r="AV10" s="104">
        <f t="shared" si="49"/>
        <v>285354.00000000006</v>
      </c>
      <c r="AW10" s="104">
        <f t="shared" si="49"/>
        <v>7211.7599999999993</v>
      </c>
      <c r="AX10" s="104">
        <f t="shared" si="49"/>
        <v>0</v>
      </c>
      <c r="AY10" s="104">
        <f t="shared" si="49"/>
        <v>544214.20000000007</v>
      </c>
      <c r="AZ10" s="104">
        <f t="shared" si="49"/>
        <v>18477.760000000006</v>
      </c>
      <c r="BA10" s="104">
        <f t="shared" si="49"/>
        <v>0</v>
      </c>
      <c r="BB10" s="104">
        <f t="shared" si="49"/>
        <v>277779.32</v>
      </c>
      <c r="BC10" s="104">
        <f t="shared" si="49"/>
        <v>374.39</v>
      </c>
      <c r="BD10" s="104">
        <f t="shared" si="49"/>
        <v>0</v>
      </c>
      <c r="BE10" s="104">
        <f t="shared" si="49"/>
        <v>136651.76999999999</v>
      </c>
      <c r="BF10" s="104">
        <f t="shared" si="49"/>
        <v>126.9</v>
      </c>
      <c r="BG10" s="104">
        <f t="shared" si="49"/>
        <v>0</v>
      </c>
      <c r="BH10" s="104">
        <f t="shared" si="49"/>
        <v>229451.18</v>
      </c>
      <c r="BI10" s="104">
        <f t="shared" si="49"/>
        <v>4212.5</v>
      </c>
      <c r="BJ10" s="104">
        <f t="shared" si="49"/>
        <v>0</v>
      </c>
      <c r="BK10" s="104">
        <f t="shared" si="49"/>
        <v>1947260.43</v>
      </c>
      <c r="BL10" s="104">
        <f t="shared" si="49"/>
        <v>759810.56000000006</v>
      </c>
      <c r="BM10" s="104">
        <f t="shared" si="49"/>
        <v>0</v>
      </c>
      <c r="BN10" s="104">
        <f t="shared" si="49"/>
        <v>65625.06</v>
      </c>
      <c r="BO10" s="104">
        <f t="shared" si="49"/>
        <v>0</v>
      </c>
      <c r="BP10" s="104">
        <f t="shared" si="49"/>
        <v>65625.06</v>
      </c>
      <c r="BQ10" s="104">
        <f t="shared" si="49"/>
        <v>40702.839999999997</v>
      </c>
      <c r="BR10" s="104">
        <f t="shared" si="49"/>
        <v>0</v>
      </c>
      <c r="BS10" s="104">
        <f t="shared" si="49"/>
        <v>40702.839999999997</v>
      </c>
      <c r="BT10" s="104">
        <f t="shared" si="49"/>
        <v>160937.68</v>
      </c>
      <c r="BU10" s="104">
        <f t="shared" si="49"/>
        <v>65625.06</v>
      </c>
      <c r="BV10" s="104">
        <f t="shared" si="49"/>
        <v>40702.839999999997</v>
      </c>
      <c r="BW10" s="104">
        <f t="shared" si="49"/>
        <v>267265.58</v>
      </c>
      <c r="BX10" s="1"/>
      <c r="BY10" s="1"/>
      <c r="BZ10" s="1"/>
      <c r="CA10" s="1"/>
      <c r="CB10" s="1"/>
      <c r="CC10" s="1"/>
      <c r="CD10" s="1"/>
      <c r="CE10" s="1"/>
      <c r="CF10" s="1"/>
      <c r="CG10" s="1"/>
    </row>
    <row r="11" spans="1:85" ht="15.75">
      <c r="A11" s="54"/>
      <c r="B11" s="55"/>
      <c r="C11" s="56"/>
      <c r="D11" s="57" t="s">
        <v>116</v>
      </c>
      <c r="E11" s="58">
        <f t="shared" ref="E11:H11" si="50">SUM(E12:E13)</f>
        <v>5000</v>
      </c>
      <c r="F11" s="59">
        <f t="shared" si="50"/>
        <v>0</v>
      </c>
      <c r="G11" s="59">
        <f t="shared" si="50"/>
        <v>5000</v>
      </c>
      <c r="H11" s="59">
        <f t="shared" si="50"/>
        <v>0</v>
      </c>
      <c r="I11" s="60">
        <f t="shared" si="45"/>
        <v>0.91652999999999996</v>
      </c>
      <c r="J11" s="60">
        <f t="shared" si="46"/>
        <v>0.91652999999999996</v>
      </c>
      <c r="K11" s="59">
        <f t="shared" ref="K11:W11" si="51">SUM(K12:K13)</f>
        <v>4582.6499999999996</v>
      </c>
      <c r="L11" s="59">
        <f t="shared" si="51"/>
        <v>0</v>
      </c>
      <c r="M11" s="59">
        <f t="shared" si="51"/>
        <v>0</v>
      </c>
      <c r="N11" s="59">
        <f t="shared" si="51"/>
        <v>0</v>
      </c>
      <c r="O11" s="59">
        <f t="shared" si="51"/>
        <v>4582.6499999999996</v>
      </c>
      <c r="P11" s="59">
        <f t="shared" si="51"/>
        <v>0</v>
      </c>
      <c r="Q11" s="59">
        <f t="shared" si="51"/>
        <v>0</v>
      </c>
      <c r="R11" s="59">
        <f t="shared" si="51"/>
        <v>4582.6499999999996</v>
      </c>
      <c r="S11" s="59">
        <f t="shared" si="51"/>
        <v>0</v>
      </c>
      <c r="T11" s="59">
        <f t="shared" si="51"/>
        <v>0</v>
      </c>
      <c r="U11" s="59">
        <f t="shared" si="51"/>
        <v>0</v>
      </c>
      <c r="V11" s="59">
        <f t="shared" si="51"/>
        <v>0</v>
      </c>
      <c r="W11" s="59">
        <f t="shared" si="51"/>
        <v>0</v>
      </c>
      <c r="X11" s="63">
        <f t="shared" ref="X11:Y11" si="52">IF(O11&gt;0,O11/K11,0)</f>
        <v>1</v>
      </c>
      <c r="Y11" s="63">
        <f t="shared" si="52"/>
        <v>0</v>
      </c>
      <c r="Z11" s="63">
        <f t="shared" si="5"/>
        <v>0</v>
      </c>
      <c r="AA11" s="59">
        <f t="shared" ref="AA11:BW11" si="53">SUM(AA12:AA13)</f>
        <v>0</v>
      </c>
      <c r="AB11" s="59">
        <f t="shared" si="53"/>
        <v>0</v>
      </c>
      <c r="AC11" s="59">
        <f t="shared" si="53"/>
        <v>0</v>
      </c>
      <c r="AD11" s="59">
        <f t="shared" si="53"/>
        <v>0</v>
      </c>
      <c r="AE11" s="59">
        <f t="shared" si="53"/>
        <v>0</v>
      </c>
      <c r="AF11" s="59">
        <f t="shared" si="53"/>
        <v>0</v>
      </c>
      <c r="AG11" s="59">
        <f t="shared" si="53"/>
        <v>1705.2599999999998</v>
      </c>
      <c r="AH11" s="59">
        <f t="shared" si="53"/>
        <v>0</v>
      </c>
      <c r="AI11" s="59">
        <f t="shared" si="53"/>
        <v>0</v>
      </c>
      <c r="AJ11" s="59">
        <f t="shared" si="53"/>
        <v>0</v>
      </c>
      <c r="AK11" s="59">
        <f t="shared" si="53"/>
        <v>0</v>
      </c>
      <c r="AL11" s="59">
        <f t="shared" si="53"/>
        <v>0</v>
      </c>
      <c r="AM11" s="59">
        <f t="shared" si="53"/>
        <v>0</v>
      </c>
      <c r="AN11" s="59">
        <f t="shared" si="53"/>
        <v>0</v>
      </c>
      <c r="AO11" s="59">
        <f t="shared" si="53"/>
        <v>0</v>
      </c>
      <c r="AP11" s="59">
        <f t="shared" si="53"/>
        <v>2556.94</v>
      </c>
      <c r="AQ11" s="59">
        <f t="shared" si="53"/>
        <v>0</v>
      </c>
      <c r="AR11" s="59">
        <f t="shared" si="53"/>
        <v>0</v>
      </c>
      <c r="AS11" s="59">
        <f t="shared" si="53"/>
        <v>170.76</v>
      </c>
      <c r="AT11" s="59">
        <f t="shared" si="53"/>
        <v>0</v>
      </c>
      <c r="AU11" s="59">
        <f t="shared" si="53"/>
        <v>0</v>
      </c>
      <c r="AV11" s="59">
        <f t="shared" si="53"/>
        <v>0</v>
      </c>
      <c r="AW11" s="59">
        <f t="shared" si="53"/>
        <v>0</v>
      </c>
      <c r="AX11" s="59">
        <f t="shared" si="53"/>
        <v>0</v>
      </c>
      <c r="AY11" s="59">
        <f t="shared" si="53"/>
        <v>149.69</v>
      </c>
      <c r="AZ11" s="59">
        <f t="shared" si="53"/>
        <v>0</v>
      </c>
      <c r="BA11" s="59">
        <f t="shared" si="53"/>
        <v>0</v>
      </c>
      <c r="BB11" s="59">
        <f t="shared" si="53"/>
        <v>0</v>
      </c>
      <c r="BC11" s="59">
        <f t="shared" si="53"/>
        <v>0</v>
      </c>
      <c r="BD11" s="59">
        <f t="shared" si="53"/>
        <v>0</v>
      </c>
      <c r="BE11" s="59">
        <f t="shared" si="53"/>
        <v>0</v>
      </c>
      <c r="BF11" s="59">
        <f t="shared" si="53"/>
        <v>0</v>
      </c>
      <c r="BG11" s="59">
        <f t="shared" si="53"/>
        <v>0</v>
      </c>
      <c r="BH11" s="59">
        <f t="shared" si="53"/>
        <v>0</v>
      </c>
      <c r="BI11" s="59">
        <f t="shared" si="53"/>
        <v>0</v>
      </c>
      <c r="BJ11" s="59">
        <f t="shared" si="53"/>
        <v>0</v>
      </c>
      <c r="BK11" s="59">
        <f t="shared" si="53"/>
        <v>4582.6499999999996</v>
      </c>
      <c r="BL11" s="59">
        <f t="shared" si="53"/>
        <v>0</v>
      </c>
      <c r="BM11" s="59">
        <f t="shared" si="53"/>
        <v>0</v>
      </c>
      <c r="BN11" s="59">
        <f t="shared" si="53"/>
        <v>0</v>
      </c>
      <c r="BO11" s="59">
        <f t="shared" si="53"/>
        <v>0</v>
      </c>
      <c r="BP11" s="59">
        <f t="shared" si="53"/>
        <v>0</v>
      </c>
      <c r="BQ11" s="59">
        <f t="shared" si="53"/>
        <v>0</v>
      </c>
      <c r="BR11" s="59">
        <f t="shared" si="53"/>
        <v>0</v>
      </c>
      <c r="BS11" s="59">
        <f t="shared" si="53"/>
        <v>0</v>
      </c>
      <c r="BT11" s="59">
        <f t="shared" si="53"/>
        <v>0</v>
      </c>
      <c r="BU11" s="59">
        <f t="shared" si="53"/>
        <v>0</v>
      </c>
      <c r="BV11" s="59">
        <f t="shared" si="53"/>
        <v>0</v>
      </c>
      <c r="BW11" s="59">
        <f t="shared" si="53"/>
        <v>0</v>
      </c>
      <c r="BX11" s="65"/>
      <c r="BY11" s="65"/>
      <c r="BZ11" s="65"/>
      <c r="CA11" s="65"/>
      <c r="CB11" s="65"/>
      <c r="CC11" s="65"/>
      <c r="CD11" s="65"/>
      <c r="CE11" s="65"/>
      <c r="CF11" s="65"/>
      <c r="CG11" s="65"/>
    </row>
    <row r="12" spans="1:85" ht="15.75" customHeight="1">
      <c r="A12" s="66" t="s">
        <v>127</v>
      </c>
      <c r="B12" s="67"/>
      <c r="C12" s="68" t="s">
        <v>118</v>
      </c>
      <c r="D12" s="69" t="s">
        <v>119</v>
      </c>
      <c r="E12" s="70">
        <v>3000</v>
      </c>
      <c r="F12" s="71">
        <v>0</v>
      </c>
      <c r="G12" s="71">
        <f t="shared" ref="G12:G13" si="54">E12-F12</f>
        <v>3000</v>
      </c>
      <c r="H12" s="70"/>
      <c r="I12" s="72">
        <f t="shared" si="45"/>
        <v>1.52755</v>
      </c>
      <c r="J12" s="72">
        <f t="shared" si="46"/>
        <v>1.52755</v>
      </c>
      <c r="K12" s="73">
        <f>4000+3000-2417.35</f>
        <v>4582.6499999999996</v>
      </c>
      <c r="L12" s="81"/>
      <c r="M12" s="81"/>
      <c r="N12" s="107"/>
      <c r="O12" s="77">
        <f t="shared" ref="O12:Q12" si="55">AA12+AD12+AG12+AJ12+AM12+AP12+AS12+AV12+AY12+BB12+BE12+BH12</f>
        <v>4582.6499999999996</v>
      </c>
      <c r="P12" s="77">
        <f t="shared" si="55"/>
        <v>0</v>
      </c>
      <c r="Q12" s="77">
        <f t="shared" si="55"/>
        <v>0</v>
      </c>
      <c r="R12" s="77">
        <f t="shared" ref="R12:T12" si="56">IF(BK12=0,SUM(AA12+AD12+AG12+AJ12+AM12+AP12+AS12+AV12+AY12+BB12+BE12+BH12),BK12)</f>
        <v>4582.6499999999996</v>
      </c>
      <c r="S12" s="77">
        <f t="shared" si="56"/>
        <v>0</v>
      </c>
      <c r="T12" s="77">
        <f t="shared" si="56"/>
        <v>0</v>
      </c>
      <c r="U12" s="78">
        <f t="shared" ref="U12:U13" si="57">K12-O12</f>
        <v>0</v>
      </c>
      <c r="V12" s="79">
        <f t="shared" ref="V12:V13" si="58">L12-M12-S12</f>
        <v>0</v>
      </c>
      <c r="W12" s="79">
        <f t="shared" ref="W12:W13" si="59">N12-Q12</f>
        <v>0</v>
      </c>
      <c r="X12" s="80">
        <f t="shared" ref="X12:Y12" si="60">IF(O12&gt;0,O12/K12,0)</f>
        <v>1</v>
      </c>
      <c r="Y12" s="80">
        <f t="shared" si="60"/>
        <v>0</v>
      </c>
      <c r="Z12" s="80">
        <f t="shared" si="5"/>
        <v>0</v>
      </c>
      <c r="AA12" s="81"/>
      <c r="AB12" s="81"/>
      <c r="AC12" s="81"/>
      <c r="AD12" s="81"/>
      <c r="AE12" s="83"/>
      <c r="AF12" s="83"/>
      <c r="AG12" s="83">
        <f>644.28+869.4+106.2+85.38</f>
        <v>1705.2599999999998</v>
      </c>
      <c r="AH12" s="83"/>
      <c r="AI12" s="81"/>
      <c r="AJ12" s="81"/>
      <c r="AK12" s="81"/>
      <c r="AL12" s="81"/>
      <c r="AM12" s="81"/>
      <c r="AN12" s="81"/>
      <c r="AO12" s="81"/>
      <c r="AP12" s="81">
        <f>819.42+819.42+999.2+738.32-819.42</f>
        <v>2556.94</v>
      </c>
      <c r="AQ12" s="81"/>
      <c r="AR12" s="81"/>
      <c r="AS12" s="81">
        <f>85.38+85.38</f>
        <v>170.76</v>
      </c>
      <c r="AT12" s="81"/>
      <c r="AU12" s="81"/>
      <c r="AV12" s="81"/>
      <c r="AW12" s="81"/>
      <c r="AX12" s="81"/>
      <c r="AY12" s="82">
        <v>149.69</v>
      </c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2">
        <v>4582.6499999999996</v>
      </c>
      <c r="BL12" s="82">
        <v>0</v>
      </c>
      <c r="BM12" s="82">
        <v>0</v>
      </c>
      <c r="BN12" s="81">
        <f t="shared" ref="BN12:BN13" si="61">IF(O12-BK12&gt;0,O12-BK12,0)</f>
        <v>0</v>
      </c>
      <c r="BO12" s="75">
        <f t="shared" ref="BO12:BO13" si="62">IF(Q12-BM12&gt;0,Q12-BM12,0)</f>
        <v>0</v>
      </c>
      <c r="BP12" s="81">
        <f t="shared" ref="BP12:BP13" si="63">IF(BN12+BO12&gt;0,BN12+BO12,0)</f>
        <v>0</v>
      </c>
      <c r="BQ12" s="81">
        <f t="shared" ref="BQ12:BQ13" si="64">IF(U12=0,0,U12)</f>
        <v>0</v>
      </c>
      <c r="BR12" s="81">
        <f t="shared" ref="BR12:BR13" si="65">IF(W12=0,0,W12)</f>
        <v>0</v>
      </c>
      <c r="BS12" s="81">
        <f t="shared" ref="BS12:BS13" si="66">IF(BQ12+BR12&gt;0,BQ12+BR12,0)</f>
        <v>0</v>
      </c>
      <c r="BT12" s="81">
        <f t="shared" ref="BT12:BT13" si="67">IF(V12&gt;0,V12,0)</f>
        <v>0</v>
      </c>
      <c r="BU12" s="81">
        <f t="shared" ref="BU12:BU13" si="68">IF(BP12=0,0,BP12)</f>
        <v>0</v>
      </c>
      <c r="BV12" s="81">
        <f t="shared" ref="BV12:BV13" si="69">IF(BS12=0,0,BS12)</f>
        <v>0</v>
      </c>
      <c r="BW12" s="81">
        <f t="shared" ref="BW12:BW13" si="70">IF(BP12+BT12+BV12&gt;0,BP12+BT12+BV12,0)</f>
        <v>0</v>
      </c>
      <c r="BX12" s="1"/>
      <c r="BY12" s="1"/>
      <c r="BZ12" s="1"/>
      <c r="CA12" s="1"/>
      <c r="CB12" s="1"/>
      <c r="CC12" s="1"/>
      <c r="CD12" s="1"/>
      <c r="CE12" s="1"/>
      <c r="CF12" s="1"/>
      <c r="CG12" s="1"/>
    </row>
    <row r="13" spans="1:85" ht="15.75" customHeight="1">
      <c r="A13" s="108"/>
      <c r="B13" s="90"/>
      <c r="C13" s="91" t="s">
        <v>123</v>
      </c>
      <c r="D13" s="92" t="s">
        <v>124</v>
      </c>
      <c r="E13" s="70">
        <v>2000</v>
      </c>
      <c r="F13" s="71"/>
      <c r="G13" s="71">
        <f t="shared" si="54"/>
        <v>2000</v>
      </c>
      <c r="H13" s="70"/>
      <c r="I13" s="72">
        <f t="shared" si="45"/>
        <v>0</v>
      </c>
      <c r="J13" s="72">
        <f t="shared" si="46"/>
        <v>0</v>
      </c>
      <c r="K13" s="88"/>
      <c r="L13" s="81"/>
      <c r="M13" s="81"/>
      <c r="N13" s="88"/>
      <c r="O13" s="77">
        <f t="shared" ref="O13:Q13" si="71">AA13+AD13+AG13+AJ13+AM13+AP13+AS13+AV13+AY13+BB13+BE13+BH13</f>
        <v>0</v>
      </c>
      <c r="P13" s="77">
        <f t="shared" si="71"/>
        <v>0</v>
      </c>
      <c r="Q13" s="77">
        <f t="shared" si="71"/>
        <v>0</v>
      </c>
      <c r="R13" s="77">
        <f t="shared" ref="R13:T13" si="72">IF(BK13=0,SUM(AA13+AD13+AG13+AJ13+AM13+AP13+AS13+AV13+AY13+BB13+BE13+BH13),BK13)</f>
        <v>0</v>
      </c>
      <c r="S13" s="77">
        <f t="shared" si="72"/>
        <v>0</v>
      </c>
      <c r="T13" s="77">
        <f t="shared" si="72"/>
        <v>0</v>
      </c>
      <c r="U13" s="79">
        <f t="shared" si="57"/>
        <v>0</v>
      </c>
      <c r="V13" s="79">
        <f t="shared" si="58"/>
        <v>0</v>
      </c>
      <c r="W13" s="79">
        <f t="shared" si="59"/>
        <v>0</v>
      </c>
      <c r="X13" s="80">
        <f t="shared" ref="X13:Y13" si="73">IF(O13&gt;0,O13/K13,0)</f>
        <v>0</v>
      </c>
      <c r="Y13" s="80">
        <f t="shared" si="73"/>
        <v>0</v>
      </c>
      <c r="Z13" s="80">
        <f t="shared" si="5"/>
        <v>0</v>
      </c>
      <c r="AA13" s="81"/>
      <c r="AB13" s="81"/>
      <c r="AC13" s="81"/>
      <c r="AD13" s="81"/>
      <c r="AE13" s="83"/>
      <c r="AF13" s="83"/>
      <c r="AG13" s="83"/>
      <c r="AH13" s="83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2">
        <v>0</v>
      </c>
      <c r="BL13" s="82">
        <v>0</v>
      </c>
      <c r="BM13" s="82">
        <v>0</v>
      </c>
      <c r="BN13" s="81">
        <f t="shared" si="61"/>
        <v>0</v>
      </c>
      <c r="BO13" s="75">
        <f t="shared" si="62"/>
        <v>0</v>
      </c>
      <c r="BP13" s="81">
        <f t="shared" si="63"/>
        <v>0</v>
      </c>
      <c r="BQ13" s="81">
        <f t="shared" si="64"/>
        <v>0</v>
      </c>
      <c r="BR13" s="81">
        <f t="shared" si="65"/>
        <v>0</v>
      </c>
      <c r="BS13" s="81">
        <f t="shared" si="66"/>
        <v>0</v>
      </c>
      <c r="BT13" s="81">
        <f t="shared" si="67"/>
        <v>0</v>
      </c>
      <c r="BU13" s="81">
        <f t="shared" si="68"/>
        <v>0</v>
      </c>
      <c r="BV13" s="81">
        <f t="shared" si="69"/>
        <v>0</v>
      </c>
      <c r="BW13" s="81">
        <f t="shared" si="70"/>
        <v>0</v>
      </c>
      <c r="BX13" s="1"/>
      <c r="BY13" s="1"/>
      <c r="BZ13" s="1"/>
      <c r="CA13" s="1"/>
      <c r="CB13" s="1"/>
      <c r="CC13" s="1"/>
      <c r="CD13" s="1"/>
      <c r="CE13" s="1"/>
      <c r="CF13" s="1"/>
      <c r="CG13" s="1"/>
    </row>
    <row r="14" spans="1:85" ht="15.75">
      <c r="A14" s="109"/>
      <c r="B14" s="110"/>
      <c r="C14" s="111"/>
      <c r="D14" s="112" t="s">
        <v>128</v>
      </c>
      <c r="E14" s="58">
        <f t="shared" ref="E14:H14" si="74">SUM(E15:E63)</f>
        <v>241546.77000000002</v>
      </c>
      <c r="F14" s="59">
        <f t="shared" si="74"/>
        <v>0</v>
      </c>
      <c r="G14" s="59">
        <f t="shared" si="74"/>
        <v>241546.77000000002</v>
      </c>
      <c r="H14" s="59">
        <f t="shared" si="74"/>
        <v>0</v>
      </c>
      <c r="I14" s="60">
        <f t="shared" si="45"/>
        <v>0.77255249573405593</v>
      </c>
      <c r="J14" s="60">
        <f t="shared" si="46"/>
        <v>0.75877988349833858</v>
      </c>
      <c r="K14" s="59">
        <f t="shared" ref="K14:W14" si="75">SUM(K15:K63)</f>
        <v>186607.56</v>
      </c>
      <c r="L14" s="59">
        <f t="shared" si="75"/>
        <v>53059.63</v>
      </c>
      <c r="M14" s="59">
        <f t="shared" si="75"/>
        <v>52669.63</v>
      </c>
      <c r="N14" s="59">
        <f t="shared" si="75"/>
        <v>0</v>
      </c>
      <c r="O14" s="59">
        <f t="shared" si="75"/>
        <v>183280.83</v>
      </c>
      <c r="P14" s="59">
        <f t="shared" si="75"/>
        <v>390</v>
      </c>
      <c r="Q14" s="59">
        <f t="shared" si="75"/>
        <v>0</v>
      </c>
      <c r="R14" s="59">
        <f t="shared" si="75"/>
        <v>183280.83</v>
      </c>
      <c r="S14" s="59">
        <f t="shared" si="75"/>
        <v>390</v>
      </c>
      <c r="T14" s="59">
        <f t="shared" si="75"/>
        <v>0</v>
      </c>
      <c r="U14" s="59">
        <f t="shared" si="75"/>
        <v>3326.7299999999996</v>
      </c>
      <c r="V14" s="59">
        <f t="shared" si="75"/>
        <v>0</v>
      </c>
      <c r="W14" s="59">
        <f t="shared" si="75"/>
        <v>0</v>
      </c>
      <c r="X14" s="63">
        <f t="shared" ref="X14:Y14" si="76">IF(O14&gt;0,O14/K14,0)</f>
        <v>0.98217258721993894</v>
      </c>
      <c r="Y14" s="63">
        <f t="shared" si="76"/>
        <v>7.350220874137268E-3</v>
      </c>
      <c r="Z14" s="63">
        <f t="shared" si="5"/>
        <v>0</v>
      </c>
      <c r="AA14" s="59">
        <f t="shared" ref="AA14:BW14" si="77">SUM(AA15:AA63)</f>
        <v>0</v>
      </c>
      <c r="AB14" s="59">
        <f t="shared" si="77"/>
        <v>0</v>
      </c>
      <c r="AC14" s="59">
        <f t="shared" si="77"/>
        <v>0</v>
      </c>
      <c r="AD14" s="59">
        <f t="shared" si="77"/>
        <v>0</v>
      </c>
      <c r="AE14" s="59">
        <f t="shared" si="77"/>
        <v>0</v>
      </c>
      <c r="AF14" s="59">
        <f t="shared" si="77"/>
        <v>0</v>
      </c>
      <c r="AG14" s="59">
        <f t="shared" si="77"/>
        <v>8198.24</v>
      </c>
      <c r="AH14" s="59">
        <f t="shared" si="77"/>
        <v>0</v>
      </c>
      <c r="AI14" s="59">
        <f t="shared" si="77"/>
        <v>0</v>
      </c>
      <c r="AJ14" s="59">
        <f t="shared" si="77"/>
        <v>7677.86</v>
      </c>
      <c r="AK14" s="59">
        <f t="shared" si="77"/>
        <v>0</v>
      </c>
      <c r="AL14" s="59">
        <f t="shared" si="77"/>
        <v>0</v>
      </c>
      <c r="AM14" s="59">
        <f t="shared" si="77"/>
        <v>23994.45</v>
      </c>
      <c r="AN14" s="59">
        <f t="shared" si="77"/>
        <v>0</v>
      </c>
      <c r="AO14" s="59">
        <f t="shared" si="77"/>
        <v>0</v>
      </c>
      <c r="AP14" s="59">
        <f t="shared" si="77"/>
        <v>8234.7199999999993</v>
      </c>
      <c r="AQ14" s="59">
        <f t="shared" si="77"/>
        <v>390</v>
      </c>
      <c r="AR14" s="59">
        <f t="shared" si="77"/>
        <v>0</v>
      </c>
      <c r="AS14" s="59">
        <f t="shared" si="77"/>
        <v>20358.55</v>
      </c>
      <c r="AT14" s="59">
        <f t="shared" si="77"/>
        <v>0</v>
      </c>
      <c r="AU14" s="59">
        <f t="shared" si="77"/>
        <v>0</v>
      </c>
      <c r="AV14" s="59">
        <f t="shared" si="77"/>
        <v>44580.1</v>
      </c>
      <c r="AW14" s="59">
        <f t="shared" si="77"/>
        <v>0</v>
      </c>
      <c r="AX14" s="59">
        <f t="shared" si="77"/>
        <v>0</v>
      </c>
      <c r="AY14" s="59">
        <f t="shared" si="77"/>
        <v>13312.54</v>
      </c>
      <c r="AZ14" s="59">
        <f t="shared" si="77"/>
        <v>0</v>
      </c>
      <c r="BA14" s="59">
        <f t="shared" si="77"/>
        <v>0</v>
      </c>
      <c r="BB14" s="59">
        <f t="shared" si="77"/>
        <v>17067.489999999998</v>
      </c>
      <c r="BC14" s="59">
        <f t="shared" si="77"/>
        <v>0</v>
      </c>
      <c r="BD14" s="59">
        <f t="shared" si="77"/>
        <v>0</v>
      </c>
      <c r="BE14" s="59">
        <f t="shared" si="77"/>
        <v>13747.17</v>
      </c>
      <c r="BF14" s="59">
        <f t="shared" si="77"/>
        <v>0</v>
      </c>
      <c r="BG14" s="59">
        <f t="shared" si="77"/>
        <v>0</v>
      </c>
      <c r="BH14" s="59">
        <f t="shared" si="77"/>
        <v>26109.71</v>
      </c>
      <c r="BI14" s="59">
        <f t="shared" si="77"/>
        <v>0</v>
      </c>
      <c r="BJ14" s="59">
        <f t="shared" si="77"/>
        <v>0</v>
      </c>
      <c r="BK14" s="59">
        <f t="shared" si="77"/>
        <v>183280.83</v>
      </c>
      <c r="BL14" s="59">
        <f t="shared" si="77"/>
        <v>390</v>
      </c>
      <c r="BM14" s="59">
        <f t="shared" si="77"/>
        <v>0</v>
      </c>
      <c r="BN14" s="59">
        <f t="shared" si="77"/>
        <v>0</v>
      </c>
      <c r="BO14" s="59">
        <f t="shared" si="77"/>
        <v>0</v>
      </c>
      <c r="BP14" s="59">
        <f t="shared" si="77"/>
        <v>0</v>
      </c>
      <c r="BQ14" s="59">
        <f t="shared" si="77"/>
        <v>3326.7299999999996</v>
      </c>
      <c r="BR14" s="59">
        <f t="shared" si="77"/>
        <v>0</v>
      </c>
      <c r="BS14" s="59">
        <f t="shared" si="77"/>
        <v>3326.7299999999996</v>
      </c>
      <c r="BT14" s="59">
        <f t="shared" si="77"/>
        <v>0</v>
      </c>
      <c r="BU14" s="59">
        <f t="shared" si="77"/>
        <v>0</v>
      </c>
      <c r="BV14" s="59">
        <f t="shared" si="77"/>
        <v>3326.7299999999996</v>
      </c>
      <c r="BW14" s="59">
        <f t="shared" si="77"/>
        <v>3326.7299999999996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</row>
    <row r="15" spans="1:85" ht="15.75" customHeight="1">
      <c r="A15" s="113"/>
      <c r="B15" s="114"/>
      <c r="C15" s="68" t="s">
        <v>129</v>
      </c>
      <c r="D15" s="69" t="s">
        <v>130</v>
      </c>
      <c r="E15" s="70">
        <v>25000</v>
      </c>
      <c r="F15" s="71"/>
      <c r="G15" s="71">
        <f t="shared" ref="G15:G63" si="78">E15-F15</f>
        <v>25000</v>
      </c>
      <c r="H15" s="70"/>
      <c r="I15" s="72">
        <f t="shared" si="45"/>
        <v>0</v>
      </c>
      <c r="J15" s="72">
        <f t="shared" si="46"/>
        <v>0</v>
      </c>
      <c r="K15" s="88"/>
      <c r="L15" s="81"/>
      <c r="M15" s="81"/>
      <c r="N15" s="88"/>
      <c r="O15" s="77">
        <f t="shared" ref="O15:Q15" si="79">AA15+AD15+AG15+AJ15+AM15+AP15+AS15+AV15+AY15+BB15+BE15+BH15</f>
        <v>0</v>
      </c>
      <c r="P15" s="77">
        <f t="shared" si="79"/>
        <v>0</v>
      </c>
      <c r="Q15" s="77">
        <f t="shared" si="79"/>
        <v>0</v>
      </c>
      <c r="R15" s="77">
        <f t="shared" ref="R15:T15" si="80">IF(BK15=0,SUM(AA15+AD15+AG15+AJ15+AM15+AP15+AS15+AV15+AY15+BB15+BE15+BH15),BK15)</f>
        <v>0</v>
      </c>
      <c r="S15" s="77">
        <f t="shared" si="80"/>
        <v>0</v>
      </c>
      <c r="T15" s="77">
        <f t="shared" si="80"/>
        <v>0</v>
      </c>
      <c r="U15" s="79">
        <f t="shared" ref="U15:U63" si="81">K15-O15</f>
        <v>0</v>
      </c>
      <c r="V15" s="79">
        <f t="shared" ref="V15:V63" si="82">L15-M15-S15</f>
        <v>0</v>
      </c>
      <c r="W15" s="79">
        <f t="shared" ref="W15:W63" si="83">N15-Q15</f>
        <v>0</v>
      </c>
      <c r="X15" s="80">
        <f t="shared" ref="X15:Y15" si="84">IF(O15&gt;0,O15/K15,0)</f>
        <v>0</v>
      </c>
      <c r="Y15" s="80">
        <f t="shared" si="84"/>
        <v>0</v>
      </c>
      <c r="Z15" s="80">
        <f t="shared" si="5"/>
        <v>0</v>
      </c>
      <c r="AA15" s="81"/>
      <c r="AB15" s="81"/>
      <c r="AC15" s="81"/>
      <c r="AD15" s="81"/>
      <c r="AE15" s="83"/>
      <c r="AF15" s="83"/>
      <c r="AG15" s="83"/>
      <c r="AH15" s="83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2">
        <v>0</v>
      </c>
      <c r="BL15" s="82">
        <v>0</v>
      </c>
      <c r="BM15" s="82">
        <v>0</v>
      </c>
      <c r="BN15" s="81">
        <f t="shared" ref="BN15:BN63" si="85">IF(O15-BK15&gt;0,O15-BK15,0)</f>
        <v>0</v>
      </c>
      <c r="BO15" s="75">
        <f t="shared" ref="BO15:BO63" si="86">IF(Q15-BM15&gt;0,Q15-BM15,0)</f>
        <v>0</v>
      </c>
      <c r="BP15" s="81">
        <f t="shared" ref="BP15:BP63" si="87">IF(BN15+BO15&gt;0,BN15+BO15,0)</f>
        <v>0</v>
      </c>
      <c r="BQ15" s="81">
        <f t="shared" ref="BQ15:BQ63" si="88">IF(U15=0,0,U15)</f>
        <v>0</v>
      </c>
      <c r="BR15" s="81">
        <f t="shared" ref="BR15:BR63" si="89">IF(W15=0,0,W15)</f>
        <v>0</v>
      </c>
      <c r="BS15" s="81">
        <f t="shared" ref="BS15:BS63" si="90">IF(BQ15+BR15&gt;0,BQ15+BR15,0)</f>
        <v>0</v>
      </c>
      <c r="BT15" s="81">
        <f t="shared" ref="BT15:BT63" si="91">IF(V15&gt;0,V15,0)</f>
        <v>0</v>
      </c>
      <c r="BU15" s="81">
        <f t="shared" ref="BU15:BU63" si="92">IF(BP15=0,0,BP15)</f>
        <v>0</v>
      </c>
      <c r="BV15" s="81">
        <f t="shared" ref="BV15:BV63" si="93">IF(BS15=0,0,BS15)</f>
        <v>0</v>
      </c>
      <c r="BW15" s="81">
        <f t="shared" ref="BW15:BW63" si="94">IF(BP15+BT15+BV15&gt;0,BP15+BT15+BV15,0)</f>
        <v>0</v>
      </c>
      <c r="BX15" s="1"/>
      <c r="BY15" s="1"/>
      <c r="BZ15" s="1"/>
      <c r="CA15" s="1"/>
      <c r="CB15" s="1"/>
      <c r="CC15" s="1"/>
      <c r="CD15" s="1"/>
      <c r="CE15" s="1"/>
      <c r="CF15" s="1"/>
      <c r="CG15" s="1"/>
    </row>
    <row r="16" spans="1:85" ht="15.75" customHeight="1">
      <c r="A16" s="84"/>
      <c r="B16" s="115"/>
      <c r="C16" s="86" t="s">
        <v>131</v>
      </c>
      <c r="D16" s="87" t="s">
        <v>132</v>
      </c>
      <c r="E16" s="70">
        <v>5000</v>
      </c>
      <c r="F16" s="71"/>
      <c r="G16" s="71">
        <f t="shared" si="78"/>
        <v>5000</v>
      </c>
      <c r="H16" s="70"/>
      <c r="I16" s="72">
        <f t="shared" si="45"/>
        <v>0</v>
      </c>
      <c r="J16" s="72">
        <f t="shared" si="46"/>
        <v>0</v>
      </c>
      <c r="K16" s="88"/>
      <c r="L16" s="81"/>
      <c r="M16" s="81"/>
      <c r="N16" s="88"/>
      <c r="O16" s="77">
        <f t="shared" ref="O16:Q16" si="95">AA16+AD16+AG16+AJ16+AM16+AP16+AS16+AV16+AY16+BB16+BE16+BH16</f>
        <v>0</v>
      </c>
      <c r="P16" s="77">
        <f t="shared" si="95"/>
        <v>0</v>
      </c>
      <c r="Q16" s="77">
        <f t="shared" si="95"/>
        <v>0</v>
      </c>
      <c r="R16" s="77">
        <f t="shared" ref="R16:T16" si="96">IF(BK16=0,SUM(AA16+AD16+AG16+AJ16+AM16+AP16+AS16+AV16+AY16+BB16+BE16+BH16),BK16)</f>
        <v>0</v>
      </c>
      <c r="S16" s="77">
        <f t="shared" si="96"/>
        <v>0</v>
      </c>
      <c r="T16" s="77">
        <f t="shared" si="96"/>
        <v>0</v>
      </c>
      <c r="U16" s="79">
        <f t="shared" si="81"/>
        <v>0</v>
      </c>
      <c r="V16" s="79">
        <f t="shared" si="82"/>
        <v>0</v>
      </c>
      <c r="W16" s="79">
        <f t="shared" si="83"/>
        <v>0</v>
      </c>
      <c r="X16" s="80">
        <f t="shared" ref="X16:Y16" si="97">IF(O16&gt;0,O16/K16,0)</f>
        <v>0</v>
      </c>
      <c r="Y16" s="80">
        <f t="shared" si="97"/>
        <v>0</v>
      </c>
      <c r="Z16" s="80">
        <f t="shared" si="5"/>
        <v>0</v>
      </c>
      <c r="AA16" s="81"/>
      <c r="AB16" s="81"/>
      <c r="AC16" s="81"/>
      <c r="AD16" s="81"/>
      <c r="AE16" s="83"/>
      <c r="AF16" s="83"/>
      <c r="AG16" s="83"/>
      <c r="AH16" s="83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2">
        <v>0</v>
      </c>
      <c r="BL16" s="82">
        <v>0</v>
      </c>
      <c r="BM16" s="82">
        <v>0</v>
      </c>
      <c r="BN16" s="81">
        <f t="shared" si="85"/>
        <v>0</v>
      </c>
      <c r="BO16" s="75">
        <f t="shared" si="86"/>
        <v>0</v>
      </c>
      <c r="BP16" s="81">
        <f t="shared" si="87"/>
        <v>0</v>
      </c>
      <c r="BQ16" s="81">
        <f t="shared" si="88"/>
        <v>0</v>
      </c>
      <c r="BR16" s="81">
        <f t="shared" si="89"/>
        <v>0</v>
      </c>
      <c r="BS16" s="81">
        <f t="shared" si="90"/>
        <v>0</v>
      </c>
      <c r="BT16" s="81">
        <f t="shared" si="91"/>
        <v>0</v>
      </c>
      <c r="BU16" s="81">
        <f t="shared" si="92"/>
        <v>0</v>
      </c>
      <c r="BV16" s="81">
        <f t="shared" si="93"/>
        <v>0</v>
      </c>
      <c r="BW16" s="81">
        <f t="shared" si="94"/>
        <v>0</v>
      </c>
      <c r="BX16" s="1"/>
      <c r="BY16" s="1"/>
      <c r="BZ16" s="1"/>
      <c r="CA16" s="1"/>
      <c r="CB16" s="1"/>
      <c r="CC16" s="1"/>
      <c r="CD16" s="1"/>
      <c r="CE16" s="1"/>
      <c r="CF16" s="1"/>
      <c r="CG16" s="1"/>
    </row>
    <row r="17" spans="1:85" ht="15.75" customHeight="1">
      <c r="A17" s="84"/>
      <c r="B17" s="115"/>
      <c r="C17" s="86" t="s">
        <v>133</v>
      </c>
      <c r="D17" s="87" t="s">
        <v>134</v>
      </c>
      <c r="E17" s="70">
        <v>5000</v>
      </c>
      <c r="F17" s="71"/>
      <c r="G17" s="71">
        <f t="shared" si="78"/>
        <v>5000</v>
      </c>
      <c r="H17" s="70"/>
      <c r="I17" s="72">
        <f t="shared" si="45"/>
        <v>0</v>
      </c>
      <c r="J17" s="72">
        <f t="shared" si="46"/>
        <v>0</v>
      </c>
      <c r="K17" s="88"/>
      <c r="L17" s="81"/>
      <c r="M17" s="81"/>
      <c r="N17" s="88"/>
      <c r="O17" s="77">
        <f t="shared" ref="O17:Q17" si="98">AA17+AD17+AG17+AJ17+AM17+AP17+AS17+AV17+AY17+BB17+BE17+BH17</f>
        <v>0</v>
      </c>
      <c r="P17" s="77">
        <f t="shared" si="98"/>
        <v>0</v>
      </c>
      <c r="Q17" s="77">
        <f t="shared" si="98"/>
        <v>0</v>
      </c>
      <c r="R17" s="77">
        <f t="shared" ref="R17:T17" si="99">IF(BK17=0,SUM(AA17+AD17+AG17+AJ17+AM17+AP17+AS17+AV17+AY17+BB17+BE17+BH17),BK17)</f>
        <v>0</v>
      </c>
      <c r="S17" s="77">
        <f t="shared" si="99"/>
        <v>0</v>
      </c>
      <c r="T17" s="77">
        <f t="shared" si="99"/>
        <v>0</v>
      </c>
      <c r="U17" s="79">
        <f t="shared" si="81"/>
        <v>0</v>
      </c>
      <c r="V17" s="79">
        <f t="shared" si="82"/>
        <v>0</v>
      </c>
      <c r="W17" s="79">
        <f t="shared" si="83"/>
        <v>0</v>
      </c>
      <c r="X17" s="80">
        <f t="shared" ref="X17:Y17" si="100">IF(O17&gt;0,O17/K17,0)</f>
        <v>0</v>
      </c>
      <c r="Y17" s="80">
        <f t="shared" si="100"/>
        <v>0</v>
      </c>
      <c r="Z17" s="80">
        <f t="shared" si="5"/>
        <v>0</v>
      </c>
      <c r="AA17" s="81"/>
      <c r="AB17" s="81"/>
      <c r="AC17" s="81"/>
      <c r="AD17" s="81"/>
      <c r="AE17" s="83"/>
      <c r="AF17" s="83"/>
      <c r="AG17" s="83"/>
      <c r="AH17" s="83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2">
        <v>0</v>
      </c>
      <c r="BL17" s="82">
        <v>0</v>
      </c>
      <c r="BM17" s="82">
        <v>0</v>
      </c>
      <c r="BN17" s="81">
        <f t="shared" si="85"/>
        <v>0</v>
      </c>
      <c r="BO17" s="75">
        <f t="shared" si="86"/>
        <v>0</v>
      </c>
      <c r="BP17" s="81">
        <f t="shared" si="87"/>
        <v>0</v>
      </c>
      <c r="BQ17" s="81">
        <f t="shared" si="88"/>
        <v>0</v>
      </c>
      <c r="BR17" s="81">
        <f t="shared" si="89"/>
        <v>0</v>
      </c>
      <c r="BS17" s="81">
        <f t="shared" si="90"/>
        <v>0</v>
      </c>
      <c r="BT17" s="81">
        <f t="shared" si="91"/>
        <v>0</v>
      </c>
      <c r="BU17" s="81">
        <f t="shared" si="92"/>
        <v>0</v>
      </c>
      <c r="BV17" s="81">
        <f t="shared" si="93"/>
        <v>0</v>
      </c>
      <c r="BW17" s="81">
        <f t="shared" si="94"/>
        <v>0</v>
      </c>
      <c r="BX17" s="1"/>
      <c r="BY17" s="1"/>
      <c r="BZ17" s="1"/>
      <c r="CA17" s="1"/>
      <c r="CB17" s="1"/>
      <c r="CC17" s="1"/>
      <c r="CD17" s="1"/>
      <c r="CE17" s="1"/>
      <c r="CF17" s="1"/>
      <c r="CG17" s="1"/>
    </row>
    <row r="18" spans="1:85" ht="15.75" customHeight="1">
      <c r="A18" s="84"/>
      <c r="B18" s="115"/>
      <c r="C18" s="86" t="s">
        <v>135</v>
      </c>
      <c r="D18" s="87" t="s">
        <v>136</v>
      </c>
      <c r="E18" s="70">
        <v>14546.77</v>
      </c>
      <c r="F18" s="71"/>
      <c r="G18" s="71">
        <f t="shared" si="78"/>
        <v>14546.77</v>
      </c>
      <c r="H18" s="70"/>
      <c r="I18" s="72">
        <f t="shared" si="45"/>
        <v>0</v>
      </c>
      <c r="J18" s="72">
        <f t="shared" si="46"/>
        <v>0</v>
      </c>
      <c r="K18" s="88"/>
      <c r="L18" s="81"/>
      <c r="M18" s="81"/>
      <c r="N18" s="88"/>
      <c r="O18" s="77">
        <f t="shared" ref="O18:Q18" si="101">AA18+AD18+AG18+AJ18+AM18+AP18+AS18+AV18+AY18+BB18+BE18+BH18</f>
        <v>0</v>
      </c>
      <c r="P18" s="77">
        <f t="shared" si="101"/>
        <v>0</v>
      </c>
      <c r="Q18" s="77">
        <f t="shared" si="101"/>
        <v>0</v>
      </c>
      <c r="R18" s="77">
        <f t="shared" ref="R18:T18" si="102">IF(BK18=0,SUM(AA18+AD18+AG18+AJ18+AM18+AP18+AS18+AV18+AY18+BB18+BE18+BH18),BK18)</f>
        <v>0</v>
      </c>
      <c r="S18" s="77">
        <f t="shared" si="102"/>
        <v>0</v>
      </c>
      <c r="T18" s="77">
        <f t="shared" si="102"/>
        <v>0</v>
      </c>
      <c r="U18" s="79">
        <f t="shared" si="81"/>
        <v>0</v>
      </c>
      <c r="V18" s="79">
        <f t="shared" si="82"/>
        <v>0</v>
      </c>
      <c r="W18" s="79">
        <f t="shared" si="83"/>
        <v>0</v>
      </c>
      <c r="X18" s="80">
        <f t="shared" ref="X18:Y18" si="103">IF(O18&gt;0,O18/K18,0)</f>
        <v>0</v>
      </c>
      <c r="Y18" s="80">
        <f t="shared" si="103"/>
        <v>0</v>
      </c>
      <c r="Z18" s="80">
        <f t="shared" si="5"/>
        <v>0</v>
      </c>
      <c r="AA18" s="81"/>
      <c r="AB18" s="81"/>
      <c r="AC18" s="81"/>
      <c r="AD18" s="81"/>
      <c r="AE18" s="83"/>
      <c r="AF18" s="83"/>
      <c r="AG18" s="83"/>
      <c r="AH18" s="83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2">
        <v>0</v>
      </c>
      <c r="BL18" s="82">
        <v>0</v>
      </c>
      <c r="BM18" s="82">
        <v>0</v>
      </c>
      <c r="BN18" s="81">
        <f t="shared" si="85"/>
        <v>0</v>
      </c>
      <c r="BO18" s="75">
        <f t="shared" si="86"/>
        <v>0</v>
      </c>
      <c r="BP18" s="81">
        <f t="shared" si="87"/>
        <v>0</v>
      </c>
      <c r="BQ18" s="81">
        <f t="shared" si="88"/>
        <v>0</v>
      </c>
      <c r="BR18" s="81">
        <f t="shared" si="89"/>
        <v>0</v>
      </c>
      <c r="BS18" s="81">
        <f t="shared" si="90"/>
        <v>0</v>
      </c>
      <c r="BT18" s="81">
        <f t="shared" si="91"/>
        <v>0</v>
      </c>
      <c r="BU18" s="81">
        <f t="shared" si="92"/>
        <v>0</v>
      </c>
      <c r="BV18" s="81">
        <f t="shared" si="93"/>
        <v>0</v>
      </c>
      <c r="BW18" s="81">
        <f t="shared" si="94"/>
        <v>0</v>
      </c>
      <c r="BX18" s="1"/>
      <c r="BY18" s="1"/>
      <c r="BZ18" s="1"/>
      <c r="CA18" s="1"/>
      <c r="CB18" s="1"/>
      <c r="CC18" s="1"/>
      <c r="CD18" s="1"/>
      <c r="CE18" s="1"/>
      <c r="CF18" s="1"/>
      <c r="CG18" s="1"/>
    </row>
    <row r="19" spans="1:85" ht="15.75" customHeight="1">
      <c r="A19" s="84"/>
      <c r="B19" s="115"/>
      <c r="C19" s="86" t="s">
        <v>137</v>
      </c>
      <c r="D19" s="87" t="s">
        <v>138</v>
      </c>
      <c r="E19" s="70">
        <v>10000</v>
      </c>
      <c r="F19" s="71"/>
      <c r="G19" s="71">
        <f t="shared" si="78"/>
        <v>10000</v>
      </c>
      <c r="H19" s="70"/>
      <c r="I19" s="72">
        <f t="shared" si="45"/>
        <v>0</v>
      </c>
      <c r="J19" s="72">
        <f t="shared" si="46"/>
        <v>0</v>
      </c>
      <c r="K19" s="88"/>
      <c r="L19" s="81"/>
      <c r="M19" s="81"/>
      <c r="N19" s="88"/>
      <c r="O19" s="77">
        <f t="shared" ref="O19:Q19" si="104">AA19+AD19+AG19+AJ19+AM19+AP19+AS19+AV19+AY19+BB19+BE19+BH19</f>
        <v>0</v>
      </c>
      <c r="P19" s="77">
        <f t="shared" si="104"/>
        <v>0</v>
      </c>
      <c r="Q19" s="77">
        <f t="shared" si="104"/>
        <v>0</v>
      </c>
      <c r="R19" s="77">
        <f t="shared" ref="R19:T19" si="105">IF(BK19=0,SUM(AA19+AD19+AG19+AJ19+AM19+AP19+AS19+AV19+AY19+BB19+BE19+BH19),BK19)</f>
        <v>0</v>
      </c>
      <c r="S19" s="77">
        <f t="shared" si="105"/>
        <v>0</v>
      </c>
      <c r="T19" s="77">
        <f t="shared" si="105"/>
        <v>0</v>
      </c>
      <c r="U19" s="79">
        <f t="shared" si="81"/>
        <v>0</v>
      </c>
      <c r="V19" s="79">
        <f t="shared" si="82"/>
        <v>0</v>
      </c>
      <c r="W19" s="79">
        <f t="shared" si="83"/>
        <v>0</v>
      </c>
      <c r="X19" s="80">
        <f t="shared" ref="X19:Y19" si="106">IF(O19&gt;0,O19/K19,0)</f>
        <v>0</v>
      </c>
      <c r="Y19" s="80">
        <f t="shared" si="106"/>
        <v>0</v>
      </c>
      <c r="Z19" s="80">
        <f t="shared" si="5"/>
        <v>0</v>
      </c>
      <c r="AA19" s="81"/>
      <c r="AB19" s="81"/>
      <c r="AC19" s="81"/>
      <c r="AD19" s="81"/>
      <c r="AE19" s="83"/>
      <c r="AF19" s="83"/>
      <c r="AG19" s="83"/>
      <c r="AH19" s="83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576">
        <f>IF(L19-BH19&gt;0,L19-BH19,0)</f>
        <v>0</v>
      </c>
      <c r="BL19" s="577">
        <f>IF(N19-BJ19&gt;0,N19-BJ19,0)</f>
        <v>0</v>
      </c>
      <c r="BM19" s="576">
        <f>IF(BK19+BL19&gt;0,BK19+BL19,0)</f>
        <v>0</v>
      </c>
      <c r="BN19" s="576">
        <f>IF(R19=0,0,R19)</f>
        <v>0</v>
      </c>
      <c r="BO19" s="576">
        <f>IF(T19=0,0,T19)</f>
        <v>0</v>
      </c>
      <c r="BP19" s="576">
        <f>IF(BN19+BO19&gt;0,BN19+BO19,0)</f>
        <v>0</v>
      </c>
      <c r="BQ19" s="576">
        <f>IF(S19&gt;0,S19,0)</f>
        <v>0</v>
      </c>
      <c r="BR19" s="576">
        <f>IF(BM19=0,0,BM19)</f>
        <v>0</v>
      </c>
      <c r="BS19" s="576">
        <f>IF(BP19=0,0,BP19)</f>
        <v>0</v>
      </c>
      <c r="BT19" s="576">
        <f>IF(BM19+BQ19&gt;0,BM19+BQ19,0)</f>
        <v>0</v>
      </c>
      <c r="BU19" s="576">
        <f t="shared" si="92"/>
        <v>0</v>
      </c>
      <c r="BV19" s="576">
        <f t="shared" si="93"/>
        <v>0</v>
      </c>
      <c r="BW19" s="576">
        <f t="shared" si="94"/>
        <v>0</v>
      </c>
      <c r="BX19" s="1"/>
      <c r="BY19" s="1"/>
      <c r="BZ19" s="1"/>
      <c r="CA19" s="1"/>
      <c r="CB19" s="1"/>
      <c r="CC19" s="1"/>
      <c r="CD19" s="1"/>
      <c r="CE19" s="1"/>
      <c r="CF19" s="1"/>
      <c r="CG19" s="1"/>
    </row>
    <row r="20" spans="1:85" ht="15.75" customHeight="1">
      <c r="A20" s="84"/>
      <c r="B20" s="115"/>
      <c r="C20" s="86" t="s">
        <v>137</v>
      </c>
      <c r="D20" s="87" t="s">
        <v>139</v>
      </c>
      <c r="E20" s="70">
        <v>500</v>
      </c>
      <c r="F20" s="71"/>
      <c r="G20" s="71">
        <f t="shared" si="78"/>
        <v>500</v>
      </c>
      <c r="H20" s="70"/>
      <c r="I20" s="72">
        <f t="shared" si="45"/>
        <v>0</v>
      </c>
      <c r="J20" s="72">
        <f t="shared" si="46"/>
        <v>0</v>
      </c>
      <c r="K20" s="88"/>
      <c r="L20" s="81"/>
      <c r="M20" s="81"/>
      <c r="N20" s="88"/>
      <c r="O20" s="77">
        <f t="shared" ref="O20:Q20" si="107">AA20+AD20+AG20+AJ20+AM20+AP20+AS20+AV20+AY20+BB20+BE20+BH20</f>
        <v>0</v>
      </c>
      <c r="P20" s="77">
        <f t="shared" si="107"/>
        <v>0</v>
      </c>
      <c r="Q20" s="77">
        <f t="shared" si="107"/>
        <v>0</v>
      </c>
      <c r="R20" s="77">
        <f t="shared" ref="R20:T20" si="108">IF(BK20=0,SUM(AA20+AD20+AG20+AJ20+AM20+AP20+AS20+AV20+AY20+BB20+BE20+BH20),BK20)</f>
        <v>0</v>
      </c>
      <c r="S20" s="77">
        <f t="shared" si="108"/>
        <v>0</v>
      </c>
      <c r="T20" s="77">
        <f t="shared" si="108"/>
        <v>0</v>
      </c>
      <c r="U20" s="79">
        <f t="shared" si="81"/>
        <v>0</v>
      </c>
      <c r="V20" s="79">
        <f t="shared" si="82"/>
        <v>0</v>
      </c>
      <c r="W20" s="79">
        <f t="shared" si="83"/>
        <v>0</v>
      </c>
      <c r="X20" s="80">
        <f t="shared" ref="X20:Y20" si="109">IF(O20&gt;0,O20/K20,0)</f>
        <v>0</v>
      </c>
      <c r="Y20" s="80">
        <f t="shared" si="109"/>
        <v>0</v>
      </c>
      <c r="Z20" s="80">
        <f t="shared" si="5"/>
        <v>0</v>
      </c>
      <c r="AA20" s="81"/>
      <c r="AB20" s="81"/>
      <c r="AC20" s="81"/>
      <c r="AD20" s="81"/>
      <c r="AE20" s="83"/>
      <c r="AF20" s="83"/>
      <c r="AG20" s="83"/>
      <c r="AH20" s="83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2">
        <v>0</v>
      </c>
      <c r="BL20" s="82">
        <v>0</v>
      </c>
      <c r="BM20" s="82">
        <v>0</v>
      </c>
      <c r="BN20" s="81">
        <f t="shared" si="85"/>
        <v>0</v>
      </c>
      <c r="BO20" s="75">
        <f t="shared" si="86"/>
        <v>0</v>
      </c>
      <c r="BP20" s="81">
        <f t="shared" si="87"/>
        <v>0</v>
      </c>
      <c r="BQ20" s="81">
        <f t="shared" si="88"/>
        <v>0</v>
      </c>
      <c r="BR20" s="81">
        <f t="shared" si="89"/>
        <v>0</v>
      </c>
      <c r="BS20" s="81">
        <f t="shared" si="90"/>
        <v>0</v>
      </c>
      <c r="BT20" s="81">
        <f t="shared" si="91"/>
        <v>0</v>
      </c>
      <c r="BU20" s="81">
        <f t="shared" si="92"/>
        <v>0</v>
      </c>
      <c r="BV20" s="81">
        <f t="shared" si="93"/>
        <v>0</v>
      </c>
      <c r="BW20" s="81">
        <f t="shared" si="94"/>
        <v>0</v>
      </c>
      <c r="BX20" s="1"/>
      <c r="BY20" s="1"/>
      <c r="BZ20" s="1"/>
      <c r="CA20" s="1"/>
      <c r="CB20" s="1"/>
      <c r="CC20" s="1"/>
      <c r="CD20" s="1"/>
      <c r="CE20" s="1"/>
      <c r="CF20" s="1"/>
      <c r="CG20" s="1"/>
    </row>
    <row r="21" spans="1:85" ht="15.75" customHeight="1">
      <c r="A21" s="84"/>
      <c r="B21" s="115" t="s">
        <v>140</v>
      </c>
      <c r="C21" s="86" t="s">
        <v>137</v>
      </c>
      <c r="D21" s="116" t="s">
        <v>141</v>
      </c>
      <c r="E21" s="70"/>
      <c r="F21" s="71"/>
      <c r="G21" s="71">
        <f t="shared" si="78"/>
        <v>0</v>
      </c>
      <c r="H21" s="70"/>
      <c r="I21" s="72">
        <f t="shared" si="45"/>
        <v>0</v>
      </c>
      <c r="J21" s="72">
        <f t="shared" si="46"/>
        <v>0</v>
      </c>
      <c r="K21" s="88"/>
      <c r="L21" s="81">
        <v>3779.5</v>
      </c>
      <c r="M21" s="82">
        <v>3779.5</v>
      </c>
      <c r="N21" s="88"/>
      <c r="O21" s="77">
        <f t="shared" ref="O21:Q21" si="110">AA21+AD21+AG21+AJ21+AM21+AP21+AS21+AV21+AY21+BB21+BE21+BH21</f>
        <v>0</v>
      </c>
      <c r="P21" s="77">
        <f t="shared" si="110"/>
        <v>0</v>
      </c>
      <c r="Q21" s="77">
        <f t="shared" si="110"/>
        <v>0</v>
      </c>
      <c r="R21" s="77">
        <f t="shared" ref="R21:T21" si="111">IF(BK21=0,SUM(AA21+AD21+AG21+AJ21+AM21+AP21+AS21+AV21+AY21+BB21+BE21+BH21),BK21)</f>
        <v>0</v>
      </c>
      <c r="S21" s="77">
        <f t="shared" si="111"/>
        <v>0</v>
      </c>
      <c r="T21" s="77">
        <f t="shared" si="111"/>
        <v>0</v>
      </c>
      <c r="U21" s="79">
        <f t="shared" si="81"/>
        <v>0</v>
      </c>
      <c r="V21" s="79">
        <f t="shared" si="82"/>
        <v>0</v>
      </c>
      <c r="W21" s="79">
        <f t="shared" si="83"/>
        <v>0</v>
      </c>
      <c r="X21" s="80">
        <f t="shared" ref="X21:Y21" si="112">IF(O21&gt;0,O21/K21,0)</f>
        <v>0</v>
      </c>
      <c r="Y21" s="80">
        <f t="shared" si="112"/>
        <v>0</v>
      </c>
      <c r="Z21" s="80">
        <f t="shared" si="5"/>
        <v>0</v>
      </c>
      <c r="AA21" s="81"/>
      <c r="AB21" s="81"/>
      <c r="AC21" s="81"/>
      <c r="AD21" s="81"/>
      <c r="AE21" s="83"/>
      <c r="AF21" s="83"/>
      <c r="AG21" s="83"/>
      <c r="AH21" s="83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2">
        <v>0</v>
      </c>
      <c r="BL21" s="82">
        <v>0</v>
      </c>
      <c r="BM21" s="82">
        <v>0</v>
      </c>
      <c r="BN21" s="81">
        <f t="shared" si="85"/>
        <v>0</v>
      </c>
      <c r="BO21" s="75">
        <f t="shared" si="86"/>
        <v>0</v>
      </c>
      <c r="BP21" s="81">
        <f t="shared" si="87"/>
        <v>0</v>
      </c>
      <c r="BQ21" s="81">
        <f t="shared" si="88"/>
        <v>0</v>
      </c>
      <c r="BR21" s="81">
        <f t="shared" si="89"/>
        <v>0</v>
      </c>
      <c r="BS21" s="81">
        <f t="shared" si="90"/>
        <v>0</v>
      </c>
      <c r="BT21" s="81">
        <f t="shared" si="91"/>
        <v>0</v>
      </c>
      <c r="BU21" s="81">
        <f t="shared" si="92"/>
        <v>0</v>
      </c>
      <c r="BV21" s="81">
        <f t="shared" si="93"/>
        <v>0</v>
      </c>
      <c r="BW21" s="81">
        <f t="shared" si="94"/>
        <v>0</v>
      </c>
      <c r="BX21" s="1"/>
      <c r="BY21" s="1"/>
      <c r="BZ21" s="1"/>
      <c r="CA21" s="1"/>
      <c r="CB21" s="1"/>
      <c r="CC21" s="1"/>
      <c r="CD21" s="1"/>
      <c r="CE21" s="1"/>
      <c r="CF21" s="1"/>
      <c r="CG21" s="1"/>
    </row>
    <row r="22" spans="1:85" ht="15.75" customHeight="1">
      <c r="A22" s="113"/>
      <c r="B22" s="114" t="s">
        <v>142</v>
      </c>
      <c r="C22" s="68" t="s">
        <v>143</v>
      </c>
      <c r="D22" s="69" t="s">
        <v>144</v>
      </c>
      <c r="E22" s="117">
        <v>500</v>
      </c>
      <c r="F22" s="118"/>
      <c r="G22" s="71">
        <f t="shared" si="78"/>
        <v>500</v>
      </c>
      <c r="H22" s="117"/>
      <c r="I22" s="72">
        <f t="shared" si="45"/>
        <v>0</v>
      </c>
      <c r="J22" s="72">
        <f t="shared" si="46"/>
        <v>0</v>
      </c>
      <c r="K22" s="119"/>
      <c r="L22" s="120">
        <v>390</v>
      </c>
      <c r="M22" s="120"/>
      <c r="N22" s="119"/>
      <c r="O22" s="121">
        <f t="shared" ref="O22:Q22" si="113">AA22+AD22+AG22+AJ22+AM22+AP22+AS22+AV22+AY22+BB22+BE22+BH22</f>
        <v>0</v>
      </c>
      <c r="P22" s="121">
        <f t="shared" si="113"/>
        <v>390</v>
      </c>
      <c r="Q22" s="121">
        <f t="shared" si="113"/>
        <v>0</v>
      </c>
      <c r="R22" s="121">
        <f t="shared" ref="R22:T22" si="114">IF(BK22=0,SUM(AA22+AD22+AG22+AJ22+AM22+AP22+AS22+AV22+AY22+BB22+BE22+BH22),BK22)</f>
        <v>0</v>
      </c>
      <c r="S22" s="121">
        <f t="shared" si="114"/>
        <v>390</v>
      </c>
      <c r="T22" s="121">
        <f t="shared" si="114"/>
        <v>0</v>
      </c>
      <c r="U22" s="122">
        <f t="shared" si="81"/>
        <v>0</v>
      </c>
      <c r="V22" s="79">
        <f t="shared" si="82"/>
        <v>0</v>
      </c>
      <c r="W22" s="122">
        <f t="shared" si="83"/>
        <v>0</v>
      </c>
      <c r="X22" s="80">
        <f t="shared" ref="X22:Y22" si="115">IF(O22&gt;0,O22/K22,0)</f>
        <v>0</v>
      </c>
      <c r="Y22" s="80">
        <f t="shared" si="115"/>
        <v>1</v>
      </c>
      <c r="Z22" s="80">
        <f t="shared" si="5"/>
        <v>0</v>
      </c>
      <c r="AA22" s="120"/>
      <c r="AB22" s="120"/>
      <c r="AC22" s="120"/>
      <c r="AD22" s="120"/>
      <c r="AE22" s="123"/>
      <c r="AF22" s="123"/>
      <c r="AG22" s="123"/>
      <c r="AH22" s="123"/>
      <c r="AI22" s="120"/>
      <c r="AJ22" s="120"/>
      <c r="AK22" s="120"/>
      <c r="AL22" s="120"/>
      <c r="AM22" s="120"/>
      <c r="AN22" s="120"/>
      <c r="AO22" s="120"/>
      <c r="AP22" s="120"/>
      <c r="AQ22" s="124">
        <v>390</v>
      </c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4">
        <v>0</v>
      </c>
      <c r="BL22" s="124">
        <v>390</v>
      </c>
      <c r="BM22" s="124">
        <v>0</v>
      </c>
      <c r="BN22" s="81">
        <f t="shared" si="85"/>
        <v>0</v>
      </c>
      <c r="BO22" s="75">
        <f t="shared" si="86"/>
        <v>0</v>
      </c>
      <c r="BP22" s="81">
        <f t="shared" si="87"/>
        <v>0</v>
      </c>
      <c r="BQ22" s="81">
        <f t="shared" si="88"/>
        <v>0</v>
      </c>
      <c r="BR22" s="81">
        <f t="shared" si="89"/>
        <v>0</v>
      </c>
      <c r="BS22" s="81">
        <f t="shared" si="90"/>
        <v>0</v>
      </c>
      <c r="BT22" s="81">
        <f t="shared" si="91"/>
        <v>0</v>
      </c>
      <c r="BU22" s="81">
        <f t="shared" si="92"/>
        <v>0</v>
      </c>
      <c r="BV22" s="81">
        <f t="shared" si="93"/>
        <v>0</v>
      </c>
      <c r="BW22" s="81">
        <f t="shared" si="94"/>
        <v>0</v>
      </c>
      <c r="BX22" s="1"/>
      <c r="BY22" s="1"/>
      <c r="BZ22" s="1"/>
      <c r="CA22" s="1"/>
      <c r="CB22" s="1"/>
      <c r="CC22" s="1"/>
      <c r="CD22" s="1"/>
      <c r="CE22" s="1"/>
      <c r="CF22" s="1"/>
      <c r="CG22" s="1"/>
    </row>
    <row r="23" spans="1:85" ht="15.75" customHeight="1">
      <c r="A23" s="125" t="s">
        <v>145</v>
      </c>
      <c r="B23" s="115"/>
      <c r="C23" s="86" t="s">
        <v>146</v>
      </c>
      <c r="D23" s="126" t="s">
        <v>147</v>
      </c>
      <c r="E23" s="70">
        <v>20000</v>
      </c>
      <c r="F23" s="71"/>
      <c r="G23" s="71">
        <f t="shared" si="78"/>
        <v>20000</v>
      </c>
      <c r="H23" s="70"/>
      <c r="I23" s="72">
        <f t="shared" si="45"/>
        <v>5.9154999999999992E-2</v>
      </c>
      <c r="J23" s="72">
        <f t="shared" si="46"/>
        <v>5.9154999999999992E-2</v>
      </c>
      <c r="K23" s="73">
        <v>1183.0999999999999</v>
      </c>
      <c r="L23" s="81"/>
      <c r="M23" s="81"/>
      <c r="N23" s="88"/>
      <c r="O23" s="77">
        <f t="shared" ref="O23:Q23" si="116">AA23+AD23+AG23+AJ23+AM23+AP23+AS23+AV23+AY23+BB23+BE23+BH23</f>
        <v>1183.0999999999999</v>
      </c>
      <c r="P23" s="77">
        <f t="shared" si="116"/>
        <v>0</v>
      </c>
      <c r="Q23" s="77">
        <f t="shared" si="116"/>
        <v>0</v>
      </c>
      <c r="R23" s="77">
        <f t="shared" ref="R23:T23" si="117">IF(BK23=0,SUM(AA23+AD23+AG23+AJ23+AM23+AP23+AS23+AV23+AY23+BB23+BE23+BH23),BK23)</f>
        <v>1183.0999999999999</v>
      </c>
      <c r="S23" s="77">
        <f t="shared" si="117"/>
        <v>0</v>
      </c>
      <c r="T23" s="77">
        <f t="shared" si="117"/>
        <v>0</v>
      </c>
      <c r="U23" s="78">
        <f t="shared" si="81"/>
        <v>0</v>
      </c>
      <c r="V23" s="79">
        <f t="shared" si="82"/>
        <v>0</v>
      </c>
      <c r="W23" s="79">
        <f t="shared" si="83"/>
        <v>0</v>
      </c>
      <c r="X23" s="80">
        <f t="shared" ref="X23:Y23" si="118">IF(O23&gt;0,O23/K23,0)</f>
        <v>1</v>
      </c>
      <c r="Y23" s="80">
        <f t="shared" si="118"/>
        <v>0</v>
      </c>
      <c r="Z23" s="80">
        <f t="shared" si="5"/>
        <v>0</v>
      </c>
      <c r="AA23" s="81"/>
      <c r="AB23" s="81"/>
      <c r="AC23" s="81"/>
      <c r="AD23" s="81"/>
      <c r="AE23" s="83"/>
      <c r="AF23" s="83"/>
      <c r="AG23" s="83"/>
      <c r="AH23" s="83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2">
        <v>1183.0999999999999</v>
      </c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2">
        <v>1183.0999999999999</v>
      </c>
      <c r="BL23" s="82">
        <v>0</v>
      </c>
      <c r="BM23" s="82">
        <v>0</v>
      </c>
      <c r="BN23" s="81">
        <f t="shared" si="85"/>
        <v>0</v>
      </c>
      <c r="BO23" s="75">
        <f t="shared" si="86"/>
        <v>0</v>
      </c>
      <c r="BP23" s="81">
        <f t="shared" si="87"/>
        <v>0</v>
      </c>
      <c r="BQ23" s="81">
        <f t="shared" si="88"/>
        <v>0</v>
      </c>
      <c r="BR23" s="81">
        <f t="shared" si="89"/>
        <v>0</v>
      </c>
      <c r="BS23" s="81">
        <f t="shared" si="90"/>
        <v>0</v>
      </c>
      <c r="BT23" s="81">
        <f t="shared" si="91"/>
        <v>0</v>
      </c>
      <c r="BU23" s="81">
        <f t="shared" si="92"/>
        <v>0</v>
      </c>
      <c r="BV23" s="81">
        <f t="shared" si="93"/>
        <v>0</v>
      </c>
      <c r="BW23" s="81">
        <f t="shared" si="94"/>
        <v>0</v>
      </c>
      <c r="BX23" s="1"/>
      <c r="BY23" s="1"/>
      <c r="BZ23" s="1"/>
      <c r="CA23" s="1"/>
      <c r="CB23" s="1"/>
      <c r="CC23" s="1"/>
      <c r="CD23" s="1"/>
      <c r="CE23" s="1"/>
      <c r="CF23" s="1"/>
      <c r="CG23" s="1"/>
    </row>
    <row r="24" spans="1:85" ht="15.75" customHeight="1">
      <c r="A24" s="125" t="s">
        <v>148</v>
      </c>
      <c r="B24" s="115" t="s">
        <v>149</v>
      </c>
      <c r="C24" s="86" t="s">
        <v>146</v>
      </c>
      <c r="D24" s="126" t="s">
        <v>150</v>
      </c>
      <c r="E24" s="70"/>
      <c r="F24" s="71"/>
      <c r="G24" s="71">
        <f t="shared" si="78"/>
        <v>0</v>
      </c>
      <c r="H24" s="70"/>
      <c r="I24" s="72">
        <f t="shared" si="45"/>
        <v>0</v>
      </c>
      <c r="J24" s="72">
        <f t="shared" si="46"/>
        <v>0</v>
      </c>
      <c r="K24" s="73">
        <v>1011.28</v>
      </c>
      <c r="L24" s="81">
        <v>8432.75</v>
      </c>
      <c r="M24" s="82">
        <v>8432.75</v>
      </c>
      <c r="N24" s="88"/>
      <c r="O24" s="77">
        <f t="shared" ref="O24:Q24" si="119">AA24+AD24+AG24+AJ24+AM24+AP24+AS24+AV24+AY24+BB24+BE24+BH24</f>
        <v>1011.28</v>
      </c>
      <c r="P24" s="77">
        <f t="shared" si="119"/>
        <v>0</v>
      </c>
      <c r="Q24" s="77">
        <f t="shared" si="119"/>
        <v>0</v>
      </c>
      <c r="R24" s="77">
        <f t="shared" ref="R24:T24" si="120">IF(BK24=0,SUM(AA24+AD24+AG24+AJ24+AM24+AP24+AS24+AV24+AY24+BB24+BE24+BH24),BK24)</f>
        <v>1011.28</v>
      </c>
      <c r="S24" s="77">
        <f t="shared" si="120"/>
        <v>0</v>
      </c>
      <c r="T24" s="77">
        <f t="shared" si="120"/>
        <v>0</v>
      </c>
      <c r="U24" s="78">
        <f t="shared" si="81"/>
        <v>0</v>
      </c>
      <c r="V24" s="79">
        <f t="shared" si="82"/>
        <v>0</v>
      </c>
      <c r="W24" s="79">
        <f t="shared" si="83"/>
        <v>0</v>
      </c>
      <c r="X24" s="80">
        <f t="shared" ref="X24:Y24" si="121">IF(O24&gt;0,O24/K24,0)</f>
        <v>1</v>
      </c>
      <c r="Y24" s="80">
        <f t="shared" si="121"/>
        <v>0</v>
      </c>
      <c r="Z24" s="80">
        <f t="shared" si="5"/>
        <v>0</v>
      </c>
      <c r="AA24" s="81"/>
      <c r="AB24" s="81"/>
      <c r="AC24" s="81"/>
      <c r="AD24" s="81"/>
      <c r="AE24" s="83"/>
      <c r="AF24" s="83"/>
      <c r="AG24" s="83"/>
      <c r="AH24" s="83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2">
        <v>1011.28</v>
      </c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2">
        <v>1011.28</v>
      </c>
      <c r="BL24" s="82">
        <v>0</v>
      </c>
      <c r="BM24" s="82">
        <v>0</v>
      </c>
      <c r="BN24" s="81">
        <f t="shared" si="85"/>
        <v>0</v>
      </c>
      <c r="BO24" s="75">
        <f t="shared" si="86"/>
        <v>0</v>
      </c>
      <c r="BP24" s="81">
        <f t="shared" si="87"/>
        <v>0</v>
      </c>
      <c r="BQ24" s="81">
        <f t="shared" si="88"/>
        <v>0</v>
      </c>
      <c r="BR24" s="81">
        <f t="shared" si="89"/>
        <v>0</v>
      </c>
      <c r="BS24" s="81">
        <f t="shared" si="90"/>
        <v>0</v>
      </c>
      <c r="BT24" s="81">
        <f t="shared" si="91"/>
        <v>0</v>
      </c>
      <c r="BU24" s="81">
        <f t="shared" si="92"/>
        <v>0</v>
      </c>
      <c r="BV24" s="81">
        <f t="shared" si="93"/>
        <v>0</v>
      </c>
      <c r="BW24" s="81">
        <f t="shared" si="94"/>
        <v>0</v>
      </c>
      <c r="BX24" s="1"/>
      <c r="BY24" s="1"/>
      <c r="BZ24" s="1"/>
      <c r="CA24" s="1"/>
      <c r="CB24" s="1"/>
      <c r="CC24" s="1"/>
      <c r="CD24" s="1"/>
      <c r="CE24" s="1"/>
      <c r="CF24" s="1"/>
      <c r="CG24" s="1"/>
    </row>
    <row r="25" spans="1:85" ht="15.75" customHeight="1">
      <c r="A25" s="125" t="s">
        <v>151</v>
      </c>
      <c r="B25" s="115" t="s">
        <v>152</v>
      </c>
      <c r="C25" s="86" t="s">
        <v>146</v>
      </c>
      <c r="D25" s="126" t="s">
        <v>153</v>
      </c>
      <c r="E25" s="70"/>
      <c r="F25" s="71"/>
      <c r="G25" s="71">
        <f t="shared" si="78"/>
        <v>0</v>
      </c>
      <c r="H25" s="70"/>
      <c r="I25" s="72">
        <f t="shared" si="45"/>
        <v>0</v>
      </c>
      <c r="J25" s="72">
        <f t="shared" si="46"/>
        <v>0</v>
      </c>
      <c r="K25" s="73">
        <v>2209.77</v>
      </c>
      <c r="L25" s="81">
        <v>13770</v>
      </c>
      <c r="M25" s="82">
        <v>13770</v>
      </c>
      <c r="N25" s="88"/>
      <c r="O25" s="77">
        <f t="shared" ref="O25:Q25" si="122">AA25+AD25+AG25+AJ25+AM25+AP25+AS25+AV25+AY25+BB25+BE25+BH25</f>
        <v>2209.77</v>
      </c>
      <c r="P25" s="77">
        <f t="shared" si="122"/>
        <v>0</v>
      </c>
      <c r="Q25" s="77">
        <f t="shared" si="122"/>
        <v>0</v>
      </c>
      <c r="R25" s="77">
        <f t="shared" ref="R25:T25" si="123">IF(BK25=0,SUM(AA25+AD25+AG25+AJ25+AM25+AP25+AS25+AV25+AY25+BB25+BE25+BH25),BK25)</f>
        <v>2209.77</v>
      </c>
      <c r="S25" s="77">
        <f t="shared" si="123"/>
        <v>0</v>
      </c>
      <c r="T25" s="77">
        <f t="shared" si="123"/>
        <v>0</v>
      </c>
      <c r="U25" s="79">
        <f t="shared" si="81"/>
        <v>0</v>
      </c>
      <c r="V25" s="79">
        <f t="shared" si="82"/>
        <v>0</v>
      </c>
      <c r="W25" s="79">
        <f t="shared" si="83"/>
        <v>0</v>
      </c>
      <c r="X25" s="80">
        <f t="shared" ref="X25:Y25" si="124">IF(O25&gt;0,O25/K25,0)</f>
        <v>1</v>
      </c>
      <c r="Y25" s="80">
        <f t="shared" si="124"/>
        <v>0</v>
      </c>
      <c r="Z25" s="80">
        <f t="shared" si="5"/>
        <v>0</v>
      </c>
      <c r="AA25" s="81"/>
      <c r="AB25" s="81"/>
      <c r="AC25" s="81"/>
      <c r="AD25" s="81"/>
      <c r="AE25" s="83"/>
      <c r="AF25" s="83"/>
      <c r="AG25" s="83"/>
      <c r="AH25" s="83"/>
      <c r="AI25" s="81"/>
      <c r="AJ25" s="82">
        <v>2209.77</v>
      </c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2">
        <v>2209.77</v>
      </c>
      <c r="BL25" s="82">
        <v>0</v>
      </c>
      <c r="BM25" s="82">
        <v>0</v>
      </c>
      <c r="BN25" s="81">
        <f t="shared" si="85"/>
        <v>0</v>
      </c>
      <c r="BO25" s="75">
        <f t="shared" si="86"/>
        <v>0</v>
      </c>
      <c r="BP25" s="81">
        <f t="shared" si="87"/>
        <v>0</v>
      </c>
      <c r="BQ25" s="81">
        <f t="shared" si="88"/>
        <v>0</v>
      </c>
      <c r="BR25" s="81">
        <f t="shared" si="89"/>
        <v>0</v>
      </c>
      <c r="BS25" s="81">
        <f t="shared" si="90"/>
        <v>0</v>
      </c>
      <c r="BT25" s="81">
        <f t="shared" si="91"/>
        <v>0</v>
      </c>
      <c r="BU25" s="81">
        <f t="shared" si="92"/>
        <v>0</v>
      </c>
      <c r="BV25" s="81">
        <f t="shared" si="93"/>
        <v>0</v>
      </c>
      <c r="BW25" s="81">
        <f t="shared" si="94"/>
        <v>0</v>
      </c>
      <c r="BX25" s="1"/>
      <c r="BY25" s="1"/>
      <c r="BZ25" s="1"/>
      <c r="CA25" s="1"/>
      <c r="CB25" s="1"/>
      <c r="CC25" s="1"/>
      <c r="CD25" s="1"/>
      <c r="CE25" s="1"/>
      <c r="CF25" s="1"/>
      <c r="CG25" s="1"/>
    </row>
    <row r="26" spans="1:85" ht="15.75" customHeight="1">
      <c r="A26" s="125" t="s">
        <v>154</v>
      </c>
      <c r="B26" s="115" t="s">
        <v>140</v>
      </c>
      <c r="C26" s="86" t="s">
        <v>146</v>
      </c>
      <c r="D26" s="126" t="s">
        <v>155</v>
      </c>
      <c r="E26" s="70"/>
      <c r="F26" s="71"/>
      <c r="G26" s="71">
        <f t="shared" si="78"/>
        <v>0</v>
      </c>
      <c r="H26" s="70"/>
      <c r="I26" s="72">
        <f t="shared" si="45"/>
        <v>0</v>
      </c>
      <c r="J26" s="72">
        <f t="shared" si="46"/>
        <v>0</v>
      </c>
      <c r="K26" s="73">
        <v>1383.26</v>
      </c>
      <c r="L26" s="81">
        <v>11526.2</v>
      </c>
      <c r="M26" s="82">
        <v>11526.2</v>
      </c>
      <c r="N26" s="88"/>
      <c r="O26" s="77">
        <f t="shared" ref="O26:Q26" si="125">AA26+AD26+AG26+AJ26+AM26+AP26+AS26+AV26+AY26+BB26+BE26+BH26</f>
        <v>1383.26</v>
      </c>
      <c r="P26" s="77">
        <f t="shared" si="125"/>
        <v>0</v>
      </c>
      <c r="Q26" s="77">
        <f t="shared" si="125"/>
        <v>0</v>
      </c>
      <c r="R26" s="77">
        <f t="shared" ref="R26:T26" si="126">IF(BK26=0,SUM(AA26+AD26+AG26+AJ26+AM26+AP26+AS26+AV26+AY26+BB26+BE26+BH26),BK26)</f>
        <v>1383.26</v>
      </c>
      <c r="S26" s="77">
        <f t="shared" si="126"/>
        <v>0</v>
      </c>
      <c r="T26" s="77">
        <f t="shared" si="126"/>
        <v>0</v>
      </c>
      <c r="U26" s="79">
        <f t="shared" si="81"/>
        <v>0</v>
      </c>
      <c r="V26" s="79">
        <f t="shared" si="82"/>
        <v>0</v>
      </c>
      <c r="W26" s="79">
        <f t="shared" si="83"/>
        <v>0</v>
      </c>
      <c r="X26" s="80">
        <f t="shared" ref="X26:Y26" si="127">IF(O26&gt;0,O26/K26,0)</f>
        <v>1</v>
      </c>
      <c r="Y26" s="80">
        <f t="shared" si="127"/>
        <v>0</v>
      </c>
      <c r="Z26" s="80">
        <f t="shared" si="5"/>
        <v>0</v>
      </c>
      <c r="AA26" s="81"/>
      <c r="AB26" s="81"/>
      <c r="AC26" s="81"/>
      <c r="AD26" s="81"/>
      <c r="AE26" s="83"/>
      <c r="AF26" s="83"/>
      <c r="AG26" s="83"/>
      <c r="AH26" s="83"/>
      <c r="AI26" s="81"/>
      <c r="AJ26" s="81"/>
      <c r="AK26" s="81"/>
      <c r="AL26" s="81"/>
      <c r="AM26" s="81"/>
      <c r="AN26" s="81"/>
      <c r="AO26" s="81"/>
      <c r="AP26" s="82">
        <v>1383.26</v>
      </c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2">
        <v>1383.26</v>
      </c>
      <c r="BL26" s="82">
        <v>0</v>
      </c>
      <c r="BM26" s="82">
        <v>0</v>
      </c>
      <c r="BN26" s="81">
        <f t="shared" si="85"/>
        <v>0</v>
      </c>
      <c r="BO26" s="75">
        <f t="shared" si="86"/>
        <v>0</v>
      </c>
      <c r="BP26" s="81">
        <f t="shared" si="87"/>
        <v>0</v>
      </c>
      <c r="BQ26" s="81">
        <f t="shared" si="88"/>
        <v>0</v>
      </c>
      <c r="BR26" s="81">
        <f t="shared" si="89"/>
        <v>0</v>
      </c>
      <c r="BS26" s="81">
        <f t="shared" si="90"/>
        <v>0</v>
      </c>
      <c r="BT26" s="81">
        <f t="shared" si="91"/>
        <v>0</v>
      </c>
      <c r="BU26" s="81">
        <f t="shared" si="92"/>
        <v>0</v>
      </c>
      <c r="BV26" s="81">
        <f t="shared" si="93"/>
        <v>0</v>
      </c>
      <c r="BW26" s="81">
        <f t="shared" si="94"/>
        <v>0</v>
      </c>
      <c r="BX26" s="1"/>
      <c r="BY26" s="1"/>
      <c r="BZ26" s="1"/>
      <c r="CA26" s="1"/>
      <c r="CB26" s="1"/>
      <c r="CC26" s="1"/>
      <c r="CD26" s="1"/>
      <c r="CE26" s="1"/>
      <c r="CF26" s="1"/>
      <c r="CG26" s="1"/>
    </row>
    <row r="27" spans="1:85" ht="15.75" customHeight="1">
      <c r="A27" s="84"/>
      <c r="B27" s="115" t="s">
        <v>156</v>
      </c>
      <c r="C27" s="86" t="s">
        <v>146</v>
      </c>
      <c r="D27" s="87" t="s">
        <v>157</v>
      </c>
      <c r="E27" s="70"/>
      <c r="F27" s="71"/>
      <c r="G27" s="71">
        <f t="shared" si="78"/>
        <v>0</v>
      </c>
      <c r="H27" s="70"/>
      <c r="I27" s="72">
        <f t="shared" si="45"/>
        <v>0</v>
      </c>
      <c r="J27" s="72">
        <f t="shared" si="46"/>
        <v>0</v>
      </c>
      <c r="K27" s="88"/>
      <c r="L27" s="81">
        <v>238</v>
      </c>
      <c r="M27" s="82">
        <v>238</v>
      </c>
      <c r="N27" s="88"/>
      <c r="O27" s="77">
        <f t="shared" ref="O27:Q27" si="128">AA27+AD27+AG27+AJ27+AM27+AP27+AS27+AV27+AY27+BB27+BE27+BH27</f>
        <v>0</v>
      </c>
      <c r="P27" s="77">
        <f t="shared" si="128"/>
        <v>0</v>
      </c>
      <c r="Q27" s="77">
        <f t="shared" si="128"/>
        <v>0</v>
      </c>
      <c r="R27" s="77">
        <f t="shared" ref="R27:T27" si="129">IF(BK27=0,SUM(AA27+AD27+AG27+AJ27+AM27+AP27+AS27+AV27+AY27+BB27+BE27+BH27),BK27)</f>
        <v>0</v>
      </c>
      <c r="S27" s="77">
        <f t="shared" si="129"/>
        <v>0</v>
      </c>
      <c r="T27" s="77">
        <f t="shared" si="129"/>
        <v>0</v>
      </c>
      <c r="U27" s="79">
        <f t="shared" si="81"/>
        <v>0</v>
      </c>
      <c r="V27" s="79">
        <f t="shared" si="82"/>
        <v>0</v>
      </c>
      <c r="W27" s="79">
        <f t="shared" si="83"/>
        <v>0</v>
      </c>
      <c r="X27" s="80">
        <f t="shared" ref="X27:Y27" si="130">IF(O27&gt;0,O27/K27,0)</f>
        <v>0</v>
      </c>
      <c r="Y27" s="80">
        <f t="shared" si="130"/>
        <v>0</v>
      </c>
      <c r="Z27" s="80">
        <f t="shared" si="5"/>
        <v>0</v>
      </c>
      <c r="AA27" s="81"/>
      <c r="AB27" s="81"/>
      <c r="AC27" s="81"/>
      <c r="AD27" s="81"/>
      <c r="AE27" s="83"/>
      <c r="AF27" s="83"/>
      <c r="AG27" s="83"/>
      <c r="AH27" s="83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2">
        <v>0</v>
      </c>
      <c r="BL27" s="82">
        <v>0</v>
      </c>
      <c r="BM27" s="82">
        <v>0</v>
      </c>
      <c r="BN27" s="81">
        <f t="shared" si="85"/>
        <v>0</v>
      </c>
      <c r="BO27" s="75">
        <f t="shared" si="86"/>
        <v>0</v>
      </c>
      <c r="BP27" s="81">
        <f t="shared" si="87"/>
        <v>0</v>
      </c>
      <c r="BQ27" s="81">
        <f t="shared" si="88"/>
        <v>0</v>
      </c>
      <c r="BR27" s="81">
        <f t="shared" si="89"/>
        <v>0</v>
      </c>
      <c r="BS27" s="81">
        <f t="shared" si="90"/>
        <v>0</v>
      </c>
      <c r="BT27" s="81">
        <f t="shared" si="91"/>
        <v>0</v>
      </c>
      <c r="BU27" s="81">
        <f t="shared" si="92"/>
        <v>0</v>
      </c>
      <c r="BV27" s="81">
        <f t="shared" si="93"/>
        <v>0</v>
      </c>
      <c r="BW27" s="81">
        <f t="shared" si="94"/>
        <v>0</v>
      </c>
      <c r="BX27" s="1"/>
      <c r="BY27" s="1"/>
      <c r="BZ27" s="1"/>
      <c r="CA27" s="1"/>
      <c r="CB27" s="1"/>
      <c r="CC27" s="1"/>
      <c r="CD27" s="1"/>
      <c r="CE27" s="1"/>
      <c r="CF27" s="1"/>
      <c r="CG27" s="1"/>
    </row>
    <row r="28" spans="1:85" ht="15.75" customHeight="1">
      <c r="A28" s="84"/>
      <c r="B28" s="115" t="s">
        <v>158</v>
      </c>
      <c r="C28" s="86" t="s">
        <v>146</v>
      </c>
      <c r="D28" s="87" t="s">
        <v>159</v>
      </c>
      <c r="E28" s="70"/>
      <c r="F28" s="71"/>
      <c r="G28" s="71">
        <f t="shared" si="78"/>
        <v>0</v>
      </c>
      <c r="H28" s="70"/>
      <c r="I28" s="72">
        <f t="shared" si="45"/>
        <v>0</v>
      </c>
      <c r="J28" s="72">
        <f t="shared" si="46"/>
        <v>0</v>
      </c>
      <c r="K28" s="88"/>
      <c r="L28" s="81">
        <v>105</v>
      </c>
      <c r="M28" s="82">
        <v>105</v>
      </c>
      <c r="N28" s="88"/>
      <c r="O28" s="77">
        <f t="shared" ref="O28:Q28" si="131">AA28+AD28+AG28+AJ28+AM28+AP28+AS28+AV28+AY28+BB28+BE28+BH28</f>
        <v>0</v>
      </c>
      <c r="P28" s="77">
        <f t="shared" si="131"/>
        <v>0</v>
      </c>
      <c r="Q28" s="77">
        <f t="shared" si="131"/>
        <v>0</v>
      </c>
      <c r="R28" s="77">
        <f t="shared" ref="R28:T28" si="132">IF(BK28=0,SUM(AA28+AD28+AG28+AJ28+AM28+AP28+AS28+AV28+AY28+BB28+BE28+BH28),BK28)</f>
        <v>0</v>
      </c>
      <c r="S28" s="77">
        <f t="shared" si="132"/>
        <v>0</v>
      </c>
      <c r="T28" s="77">
        <f t="shared" si="132"/>
        <v>0</v>
      </c>
      <c r="U28" s="79">
        <f t="shared" si="81"/>
        <v>0</v>
      </c>
      <c r="V28" s="79">
        <f t="shared" si="82"/>
        <v>0</v>
      </c>
      <c r="W28" s="79">
        <f t="shared" si="83"/>
        <v>0</v>
      </c>
      <c r="X28" s="80">
        <f t="shared" ref="X28:Y28" si="133">IF(O28&gt;0,O28/K28,0)</f>
        <v>0</v>
      </c>
      <c r="Y28" s="80">
        <f t="shared" si="133"/>
        <v>0</v>
      </c>
      <c r="Z28" s="80">
        <f t="shared" si="5"/>
        <v>0</v>
      </c>
      <c r="AA28" s="81"/>
      <c r="AB28" s="81"/>
      <c r="AC28" s="81"/>
      <c r="AD28" s="81"/>
      <c r="AE28" s="83"/>
      <c r="AF28" s="83"/>
      <c r="AG28" s="83"/>
      <c r="AH28" s="83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2">
        <v>0</v>
      </c>
      <c r="BL28" s="82">
        <v>0</v>
      </c>
      <c r="BM28" s="82">
        <v>0</v>
      </c>
      <c r="BN28" s="81">
        <f t="shared" si="85"/>
        <v>0</v>
      </c>
      <c r="BO28" s="75">
        <f t="shared" si="86"/>
        <v>0</v>
      </c>
      <c r="BP28" s="81">
        <f t="shared" si="87"/>
        <v>0</v>
      </c>
      <c r="BQ28" s="81">
        <f t="shared" si="88"/>
        <v>0</v>
      </c>
      <c r="BR28" s="81">
        <f t="shared" si="89"/>
        <v>0</v>
      </c>
      <c r="BS28" s="81">
        <f t="shared" si="90"/>
        <v>0</v>
      </c>
      <c r="BT28" s="81">
        <f t="shared" si="91"/>
        <v>0</v>
      </c>
      <c r="BU28" s="81">
        <f t="shared" si="92"/>
        <v>0</v>
      </c>
      <c r="BV28" s="81">
        <f t="shared" si="93"/>
        <v>0</v>
      </c>
      <c r="BW28" s="81">
        <f t="shared" si="94"/>
        <v>0</v>
      </c>
      <c r="BX28" s="1"/>
      <c r="BY28" s="1"/>
      <c r="BZ28" s="1"/>
      <c r="CA28" s="1"/>
      <c r="CB28" s="1"/>
      <c r="CC28" s="1"/>
      <c r="CD28" s="1"/>
      <c r="CE28" s="1"/>
      <c r="CF28" s="1"/>
      <c r="CG28" s="1"/>
    </row>
    <row r="29" spans="1:85" ht="15.75" customHeight="1">
      <c r="A29" s="84"/>
      <c r="B29" s="115" t="s">
        <v>160</v>
      </c>
      <c r="C29" s="86" t="s">
        <v>146</v>
      </c>
      <c r="D29" s="87" t="s">
        <v>161</v>
      </c>
      <c r="E29" s="70"/>
      <c r="F29" s="71"/>
      <c r="G29" s="71">
        <f t="shared" si="78"/>
        <v>0</v>
      </c>
      <c r="H29" s="70"/>
      <c r="I29" s="72">
        <f t="shared" si="45"/>
        <v>0</v>
      </c>
      <c r="J29" s="72">
        <f t="shared" si="46"/>
        <v>0</v>
      </c>
      <c r="K29" s="88"/>
      <c r="L29" s="81">
        <v>2298</v>
      </c>
      <c r="M29" s="82">
        <v>2298</v>
      </c>
      <c r="N29" s="88"/>
      <c r="O29" s="77">
        <f t="shared" ref="O29:Q29" si="134">AA29+AD29+AG29+AJ29+AM29+AP29+AS29+AV29+AY29+BB29+BE29+BH29</f>
        <v>0</v>
      </c>
      <c r="P29" s="77">
        <f t="shared" si="134"/>
        <v>0</v>
      </c>
      <c r="Q29" s="77">
        <f t="shared" si="134"/>
        <v>0</v>
      </c>
      <c r="R29" s="77">
        <f t="shared" ref="R29:T29" si="135">IF(BK29=0,SUM(AA29+AD29+AG29+AJ29+AM29+AP29+AS29+AV29+AY29+BB29+BE29+BH29),BK29)</f>
        <v>0</v>
      </c>
      <c r="S29" s="77">
        <f t="shared" si="135"/>
        <v>0</v>
      </c>
      <c r="T29" s="77">
        <f t="shared" si="135"/>
        <v>0</v>
      </c>
      <c r="U29" s="79">
        <f t="shared" si="81"/>
        <v>0</v>
      </c>
      <c r="V29" s="79">
        <f t="shared" si="82"/>
        <v>0</v>
      </c>
      <c r="W29" s="79">
        <f t="shared" si="83"/>
        <v>0</v>
      </c>
      <c r="X29" s="80">
        <f t="shared" ref="X29:Y29" si="136">IF(O29&gt;0,O29/K29,0)</f>
        <v>0</v>
      </c>
      <c r="Y29" s="80">
        <f t="shared" si="136"/>
        <v>0</v>
      </c>
      <c r="Z29" s="80">
        <f t="shared" si="5"/>
        <v>0</v>
      </c>
      <c r="AA29" s="81"/>
      <c r="AB29" s="81"/>
      <c r="AC29" s="81"/>
      <c r="AD29" s="81"/>
      <c r="AE29" s="83"/>
      <c r="AF29" s="83"/>
      <c r="AG29" s="83"/>
      <c r="AH29" s="83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2">
        <v>0</v>
      </c>
      <c r="BL29" s="82">
        <v>0</v>
      </c>
      <c r="BM29" s="82">
        <v>0</v>
      </c>
      <c r="BN29" s="81">
        <f t="shared" si="85"/>
        <v>0</v>
      </c>
      <c r="BO29" s="75">
        <f t="shared" si="86"/>
        <v>0</v>
      </c>
      <c r="BP29" s="81">
        <f t="shared" si="87"/>
        <v>0</v>
      </c>
      <c r="BQ29" s="81">
        <f t="shared" si="88"/>
        <v>0</v>
      </c>
      <c r="BR29" s="81">
        <f t="shared" si="89"/>
        <v>0</v>
      </c>
      <c r="BS29" s="81">
        <f t="shared" si="90"/>
        <v>0</v>
      </c>
      <c r="BT29" s="81">
        <f t="shared" si="91"/>
        <v>0</v>
      </c>
      <c r="BU29" s="81">
        <f t="shared" si="92"/>
        <v>0</v>
      </c>
      <c r="BV29" s="81">
        <f t="shared" si="93"/>
        <v>0</v>
      </c>
      <c r="BW29" s="81">
        <f t="shared" si="94"/>
        <v>0</v>
      </c>
      <c r="BX29" s="1"/>
      <c r="BY29" s="1"/>
      <c r="BZ29" s="1"/>
      <c r="CA29" s="1"/>
      <c r="CB29" s="1"/>
      <c r="CC29" s="1"/>
      <c r="CD29" s="1"/>
      <c r="CE29" s="1"/>
      <c r="CF29" s="1"/>
      <c r="CG29" s="1"/>
    </row>
    <row r="30" spans="1:85" ht="15.75" customHeight="1">
      <c r="A30" s="84"/>
      <c r="B30" s="115" t="s">
        <v>162</v>
      </c>
      <c r="C30" s="86" t="s">
        <v>146</v>
      </c>
      <c r="D30" s="87" t="s">
        <v>163</v>
      </c>
      <c r="E30" s="70"/>
      <c r="F30" s="71"/>
      <c r="G30" s="71">
        <f t="shared" si="78"/>
        <v>0</v>
      </c>
      <c r="H30" s="70"/>
      <c r="I30" s="72">
        <f t="shared" si="45"/>
        <v>0</v>
      </c>
      <c r="J30" s="72">
        <f t="shared" si="46"/>
        <v>0</v>
      </c>
      <c r="K30" s="88"/>
      <c r="L30" s="81">
        <v>5000</v>
      </c>
      <c r="M30" s="82">
        <v>5000</v>
      </c>
      <c r="N30" s="88"/>
      <c r="O30" s="77">
        <f t="shared" ref="O30:Q30" si="137">AA30+AD30+AG30+AJ30+AM30+AP30+AS30+AV30+AY30+BB30+BE30+BH30</f>
        <v>0</v>
      </c>
      <c r="P30" s="77">
        <f t="shared" si="137"/>
        <v>0</v>
      </c>
      <c r="Q30" s="77">
        <f t="shared" si="137"/>
        <v>0</v>
      </c>
      <c r="R30" s="77">
        <f t="shared" ref="R30:T30" si="138">IF(BK30=0,SUM(AA30+AD30+AG30+AJ30+AM30+AP30+AS30+AV30+AY30+BB30+BE30+BH30),BK30)</f>
        <v>0</v>
      </c>
      <c r="S30" s="77">
        <f t="shared" si="138"/>
        <v>0</v>
      </c>
      <c r="T30" s="77">
        <f t="shared" si="138"/>
        <v>0</v>
      </c>
      <c r="U30" s="79">
        <f t="shared" si="81"/>
        <v>0</v>
      </c>
      <c r="V30" s="79">
        <f t="shared" si="82"/>
        <v>0</v>
      </c>
      <c r="W30" s="79">
        <f t="shared" si="83"/>
        <v>0</v>
      </c>
      <c r="X30" s="80">
        <f t="shared" ref="X30:Y30" si="139">IF(O30&gt;0,O30/K30,0)</f>
        <v>0</v>
      </c>
      <c r="Y30" s="80">
        <f t="shared" si="139"/>
        <v>0</v>
      </c>
      <c r="Z30" s="80">
        <f t="shared" si="5"/>
        <v>0</v>
      </c>
      <c r="AA30" s="81"/>
      <c r="AB30" s="81"/>
      <c r="AC30" s="81"/>
      <c r="AD30" s="81"/>
      <c r="AE30" s="83"/>
      <c r="AF30" s="83"/>
      <c r="AG30" s="83"/>
      <c r="AH30" s="83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2">
        <v>0</v>
      </c>
      <c r="BL30" s="82">
        <v>0</v>
      </c>
      <c r="BM30" s="82">
        <v>0</v>
      </c>
      <c r="BN30" s="81">
        <f t="shared" si="85"/>
        <v>0</v>
      </c>
      <c r="BO30" s="75">
        <f t="shared" si="86"/>
        <v>0</v>
      </c>
      <c r="BP30" s="81">
        <f t="shared" si="87"/>
        <v>0</v>
      </c>
      <c r="BQ30" s="81">
        <f t="shared" si="88"/>
        <v>0</v>
      </c>
      <c r="BR30" s="81">
        <f t="shared" si="89"/>
        <v>0</v>
      </c>
      <c r="BS30" s="81">
        <f t="shared" si="90"/>
        <v>0</v>
      </c>
      <c r="BT30" s="81">
        <f t="shared" si="91"/>
        <v>0</v>
      </c>
      <c r="BU30" s="81">
        <f t="shared" si="92"/>
        <v>0</v>
      </c>
      <c r="BV30" s="81">
        <f t="shared" si="93"/>
        <v>0</v>
      </c>
      <c r="BW30" s="81">
        <f t="shared" si="94"/>
        <v>0</v>
      </c>
      <c r="BX30" s="1"/>
      <c r="BY30" s="1"/>
      <c r="BZ30" s="1"/>
      <c r="CA30" s="1"/>
      <c r="CB30" s="1"/>
      <c r="CC30" s="1"/>
      <c r="CD30" s="1"/>
      <c r="CE30" s="1"/>
      <c r="CF30" s="1"/>
      <c r="CG30" s="1"/>
    </row>
    <row r="31" spans="1:85" ht="15.75" customHeight="1">
      <c r="A31" s="84"/>
      <c r="B31" s="115" t="s">
        <v>164</v>
      </c>
      <c r="C31" s="86" t="s">
        <v>146</v>
      </c>
      <c r="D31" s="87" t="s">
        <v>157</v>
      </c>
      <c r="E31" s="70"/>
      <c r="F31" s="71"/>
      <c r="G31" s="71">
        <f t="shared" si="78"/>
        <v>0</v>
      </c>
      <c r="H31" s="70"/>
      <c r="I31" s="72">
        <f t="shared" si="45"/>
        <v>0</v>
      </c>
      <c r="J31" s="72">
        <f t="shared" si="46"/>
        <v>0</v>
      </c>
      <c r="K31" s="88"/>
      <c r="L31" s="81">
        <v>1150</v>
      </c>
      <c r="M31" s="82">
        <v>1150</v>
      </c>
      <c r="N31" s="88"/>
      <c r="O31" s="77">
        <f t="shared" ref="O31:Q31" si="140">AA31+AD31+AG31+AJ31+AM31+AP31+AS31+AV31+AY31+BB31+BE31+BH31</f>
        <v>0</v>
      </c>
      <c r="P31" s="77">
        <f t="shared" si="140"/>
        <v>0</v>
      </c>
      <c r="Q31" s="77">
        <f t="shared" si="140"/>
        <v>0</v>
      </c>
      <c r="R31" s="77">
        <f t="shared" ref="R31:T31" si="141">IF(BK31=0,SUM(AA31+AD31+AG31+AJ31+AM31+AP31+AS31+AV31+AY31+BB31+BE31+BH31),BK31)</f>
        <v>0</v>
      </c>
      <c r="S31" s="77">
        <f t="shared" si="141"/>
        <v>0</v>
      </c>
      <c r="T31" s="77">
        <f t="shared" si="141"/>
        <v>0</v>
      </c>
      <c r="U31" s="79">
        <f t="shared" si="81"/>
        <v>0</v>
      </c>
      <c r="V31" s="79">
        <f t="shared" si="82"/>
        <v>0</v>
      </c>
      <c r="W31" s="79">
        <f t="shared" si="83"/>
        <v>0</v>
      </c>
      <c r="X31" s="80">
        <f t="shared" ref="X31:Y31" si="142">IF(O31&gt;0,O31/K31,0)</f>
        <v>0</v>
      </c>
      <c r="Y31" s="80">
        <f t="shared" si="142"/>
        <v>0</v>
      </c>
      <c r="Z31" s="80">
        <f t="shared" si="5"/>
        <v>0</v>
      </c>
      <c r="AA31" s="81"/>
      <c r="AB31" s="81"/>
      <c r="AC31" s="81"/>
      <c r="AD31" s="81"/>
      <c r="AE31" s="83"/>
      <c r="AF31" s="83"/>
      <c r="AG31" s="83"/>
      <c r="AH31" s="83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2">
        <v>0</v>
      </c>
      <c r="BL31" s="82">
        <v>0</v>
      </c>
      <c r="BM31" s="82">
        <v>0</v>
      </c>
      <c r="BN31" s="81">
        <f t="shared" si="85"/>
        <v>0</v>
      </c>
      <c r="BO31" s="75">
        <f t="shared" si="86"/>
        <v>0</v>
      </c>
      <c r="BP31" s="81">
        <f t="shared" si="87"/>
        <v>0</v>
      </c>
      <c r="BQ31" s="81">
        <f t="shared" si="88"/>
        <v>0</v>
      </c>
      <c r="BR31" s="81">
        <f t="shared" si="89"/>
        <v>0</v>
      </c>
      <c r="BS31" s="81">
        <f t="shared" si="90"/>
        <v>0</v>
      </c>
      <c r="BT31" s="81">
        <f t="shared" si="91"/>
        <v>0</v>
      </c>
      <c r="BU31" s="81">
        <f t="shared" si="92"/>
        <v>0</v>
      </c>
      <c r="BV31" s="81">
        <f t="shared" si="93"/>
        <v>0</v>
      </c>
      <c r="BW31" s="81">
        <f t="shared" si="94"/>
        <v>0</v>
      </c>
      <c r="BX31" s="1"/>
      <c r="BY31" s="1"/>
      <c r="BZ31" s="1"/>
      <c r="CA31" s="1"/>
      <c r="CB31" s="1"/>
      <c r="CC31" s="1"/>
      <c r="CD31" s="1"/>
      <c r="CE31" s="1"/>
      <c r="CF31" s="1"/>
      <c r="CG31" s="1"/>
    </row>
    <row r="32" spans="1:85" ht="15.75" customHeight="1">
      <c r="A32" s="84"/>
      <c r="B32" s="115" t="s">
        <v>165</v>
      </c>
      <c r="C32" s="86" t="s">
        <v>166</v>
      </c>
      <c r="D32" s="126" t="s">
        <v>167</v>
      </c>
      <c r="E32" s="70">
        <v>5000</v>
      </c>
      <c r="F32" s="71"/>
      <c r="G32" s="71">
        <f t="shared" si="78"/>
        <v>5000</v>
      </c>
      <c r="H32" s="70"/>
      <c r="I32" s="72">
        <f t="shared" si="45"/>
        <v>0</v>
      </c>
      <c r="J32" s="72">
        <f t="shared" si="46"/>
        <v>0</v>
      </c>
      <c r="K32" s="88"/>
      <c r="L32" s="81">
        <v>239.6</v>
      </c>
      <c r="M32" s="82">
        <v>239.6</v>
      </c>
      <c r="N32" s="88"/>
      <c r="O32" s="77">
        <f t="shared" ref="O32:Q32" si="143">AA32+AD32+AG32+AJ32+AM32+AP32+AS32+AV32+AY32+BB32+BE32+BH32</f>
        <v>0</v>
      </c>
      <c r="P32" s="77">
        <f t="shared" si="143"/>
        <v>0</v>
      </c>
      <c r="Q32" s="77">
        <f t="shared" si="143"/>
        <v>0</v>
      </c>
      <c r="R32" s="77">
        <f t="shared" ref="R32:T32" si="144">IF(BK32=0,SUM(AA32+AD32+AG32+AJ32+AM32+AP32+AS32+AV32+AY32+BB32+BE32+BH32),BK32)</f>
        <v>0</v>
      </c>
      <c r="S32" s="77">
        <f t="shared" si="144"/>
        <v>0</v>
      </c>
      <c r="T32" s="77">
        <f t="shared" si="144"/>
        <v>0</v>
      </c>
      <c r="U32" s="79">
        <f t="shared" si="81"/>
        <v>0</v>
      </c>
      <c r="V32" s="79">
        <f t="shared" si="82"/>
        <v>0</v>
      </c>
      <c r="W32" s="79">
        <f t="shared" si="83"/>
        <v>0</v>
      </c>
      <c r="X32" s="80">
        <f t="shared" ref="X32:Y32" si="145">IF(O32&gt;0,O32/K32,0)</f>
        <v>0</v>
      </c>
      <c r="Y32" s="80">
        <f t="shared" si="145"/>
        <v>0</v>
      </c>
      <c r="Z32" s="80">
        <f t="shared" si="5"/>
        <v>0</v>
      </c>
      <c r="AA32" s="81"/>
      <c r="AB32" s="81"/>
      <c r="AC32" s="81"/>
      <c r="AD32" s="81"/>
      <c r="AE32" s="83"/>
      <c r="AF32" s="83"/>
      <c r="AG32" s="83"/>
      <c r="AH32" s="83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2">
        <v>0</v>
      </c>
      <c r="BL32" s="82">
        <v>0</v>
      </c>
      <c r="BM32" s="82">
        <v>0</v>
      </c>
      <c r="BN32" s="81">
        <f t="shared" si="85"/>
        <v>0</v>
      </c>
      <c r="BO32" s="75">
        <f t="shared" si="86"/>
        <v>0</v>
      </c>
      <c r="BP32" s="81">
        <f t="shared" si="87"/>
        <v>0</v>
      </c>
      <c r="BQ32" s="81">
        <f t="shared" si="88"/>
        <v>0</v>
      </c>
      <c r="BR32" s="81">
        <f t="shared" si="89"/>
        <v>0</v>
      </c>
      <c r="BS32" s="81">
        <f t="shared" si="90"/>
        <v>0</v>
      </c>
      <c r="BT32" s="81">
        <f t="shared" si="91"/>
        <v>0</v>
      </c>
      <c r="BU32" s="81">
        <f t="shared" si="92"/>
        <v>0</v>
      </c>
      <c r="BV32" s="81">
        <f t="shared" si="93"/>
        <v>0</v>
      </c>
      <c r="BW32" s="81">
        <f t="shared" si="94"/>
        <v>0</v>
      </c>
      <c r="BX32" s="1"/>
      <c r="BY32" s="1"/>
      <c r="BZ32" s="1"/>
      <c r="CA32" s="1"/>
      <c r="CB32" s="1"/>
      <c r="CC32" s="1"/>
      <c r="CD32" s="1"/>
      <c r="CE32" s="1"/>
      <c r="CF32" s="1"/>
      <c r="CG32" s="1"/>
    </row>
    <row r="33" spans="1:85" ht="15.75" customHeight="1">
      <c r="A33" s="125" t="s">
        <v>168</v>
      </c>
      <c r="B33" s="115" t="s">
        <v>149</v>
      </c>
      <c r="C33" s="86" t="s">
        <v>169</v>
      </c>
      <c r="D33" s="126" t="s">
        <v>170</v>
      </c>
      <c r="E33" s="127">
        <v>60000</v>
      </c>
      <c r="F33" s="71"/>
      <c r="G33" s="71">
        <f t="shared" si="78"/>
        <v>60000</v>
      </c>
      <c r="H33" s="70"/>
      <c r="I33" s="72">
        <f t="shared" si="45"/>
        <v>2.1588333333333331E-2</v>
      </c>
      <c r="J33" s="72">
        <f t="shared" si="46"/>
        <v>2.1588333333333331E-2</v>
      </c>
      <c r="K33" s="73">
        <v>1295.3</v>
      </c>
      <c r="L33" s="81">
        <v>3549.08</v>
      </c>
      <c r="M33" s="82">
        <v>3549.08</v>
      </c>
      <c r="N33" s="88"/>
      <c r="O33" s="77">
        <f t="shared" ref="O33:Q33" si="146">AA33+AD33+AG33+AJ33+AM33+AP33+AS33+AV33+AY33+BB33+BE33+BH33</f>
        <v>1295.3</v>
      </c>
      <c r="P33" s="77">
        <f t="shared" si="146"/>
        <v>0</v>
      </c>
      <c r="Q33" s="77">
        <f t="shared" si="146"/>
        <v>0</v>
      </c>
      <c r="R33" s="77">
        <f t="shared" ref="R33:T33" si="147">IF(BK33=0,SUM(AA33+AD33+AG33+AJ33+AM33+AP33+AS33+AV33+AY33+BB33+BE33+BH33),BK33)</f>
        <v>1295.3</v>
      </c>
      <c r="S33" s="77">
        <f t="shared" si="147"/>
        <v>0</v>
      </c>
      <c r="T33" s="77">
        <f t="shared" si="147"/>
        <v>0</v>
      </c>
      <c r="U33" s="79">
        <f t="shared" si="81"/>
        <v>0</v>
      </c>
      <c r="V33" s="79">
        <f t="shared" si="82"/>
        <v>0</v>
      </c>
      <c r="W33" s="79">
        <f t="shared" si="83"/>
        <v>0</v>
      </c>
      <c r="X33" s="80">
        <f t="shared" ref="X33:Y33" si="148">IF(O33&gt;0,O33/K33,0)</f>
        <v>1</v>
      </c>
      <c r="Y33" s="80">
        <f t="shared" si="148"/>
        <v>0</v>
      </c>
      <c r="Z33" s="80">
        <f t="shared" si="5"/>
        <v>0</v>
      </c>
      <c r="AA33" s="81"/>
      <c r="AB33" s="81"/>
      <c r="AC33" s="81"/>
      <c r="AD33" s="81"/>
      <c r="AE33" s="83"/>
      <c r="AF33" s="83"/>
      <c r="AG33" s="83"/>
      <c r="AH33" s="83"/>
      <c r="AI33" s="81"/>
      <c r="AJ33" s="82">
        <v>1295.3</v>
      </c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2">
        <v>1295.3</v>
      </c>
      <c r="BL33" s="82">
        <v>0</v>
      </c>
      <c r="BM33" s="82">
        <v>0</v>
      </c>
      <c r="BN33" s="81">
        <f t="shared" si="85"/>
        <v>0</v>
      </c>
      <c r="BO33" s="75">
        <f t="shared" si="86"/>
        <v>0</v>
      </c>
      <c r="BP33" s="81">
        <f t="shared" si="87"/>
        <v>0</v>
      </c>
      <c r="BQ33" s="81">
        <f t="shared" si="88"/>
        <v>0</v>
      </c>
      <c r="BR33" s="81">
        <f t="shared" si="89"/>
        <v>0</v>
      </c>
      <c r="BS33" s="81">
        <f t="shared" si="90"/>
        <v>0</v>
      </c>
      <c r="BT33" s="81">
        <f t="shared" si="91"/>
        <v>0</v>
      </c>
      <c r="BU33" s="81">
        <f t="shared" si="92"/>
        <v>0</v>
      </c>
      <c r="BV33" s="81">
        <f t="shared" si="93"/>
        <v>0</v>
      </c>
      <c r="BW33" s="81">
        <f t="shared" si="94"/>
        <v>0</v>
      </c>
      <c r="BX33" s="1"/>
      <c r="BY33" s="1"/>
      <c r="BZ33" s="1"/>
      <c r="CA33" s="1"/>
      <c r="CB33" s="1"/>
      <c r="CC33" s="1"/>
      <c r="CD33" s="1"/>
      <c r="CE33" s="1"/>
      <c r="CF33" s="1"/>
      <c r="CG33" s="1"/>
    </row>
    <row r="34" spans="1:85" ht="15.75" customHeight="1">
      <c r="A34" s="125" t="s">
        <v>171</v>
      </c>
      <c r="B34" s="115"/>
      <c r="C34" s="86" t="s">
        <v>169</v>
      </c>
      <c r="D34" s="126" t="s">
        <v>172</v>
      </c>
      <c r="E34" s="70"/>
      <c r="F34" s="71"/>
      <c r="G34" s="71">
        <f t="shared" si="78"/>
        <v>0</v>
      </c>
      <c r="H34" s="70"/>
      <c r="I34" s="72">
        <f t="shared" si="45"/>
        <v>0</v>
      </c>
      <c r="J34" s="72">
        <f t="shared" si="46"/>
        <v>0</v>
      </c>
      <c r="K34" s="73">
        <v>1810.4</v>
      </c>
      <c r="L34" s="81"/>
      <c r="M34" s="81"/>
      <c r="N34" s="88"/>
      <c r="O34" s="77">
        <f t="shared" ref="O34:Q34" si="149">AA34+AD34+AG34+AJ34+AM34+AP34+AS34+AV34+AY34+BB34+BE34+BH34</f>
        <v>1810.4</v>
      </c>
      <c r="P34" s="77">
        <f t="shared" si="149"/>
        <v>0</v>
      </c>
      <c r="Q34" s="77">
        <f t="shared" si="149"/>
        <v>0</v>
      </c>
      <c r="R34" s="77">
        <f t="shared" ref="R34:T34" si="150">IF(BK34=0,SUM(AA34+AD34+AG34+AJ34+AM34+AP34+AS34+AV34+AY34+BB34+BE34+BH34),BK34)</f>
        <v>1810.4</v>
      </c>
      <c r="S34" s="77">
        <f t="shared" si="150"/>
        <v>0</v>
      </c>
      <c r="T34" s="77">
        <f t="shared" si="150"/>
        <v>0</v>
      </c>
      <c r="U34" s="79">
        <f t="shared" si="81"/>
        <v>0</v>
      </c>
      <c r="V34" s="79">
        <f t="shared" si="82"/>
        <v>0</v>
      </c>
      <c r="W34" s="79">
        <f t="shared" si="83"/>
        <v>0</v>
      </c>
      <c r="X34" s="80">
        <f t="shared" ref="X34:Y34" si="151">IF(O34&gt;0,O34/K34,0)</f>
        <v>1</v>
      </c>
      <c r="Y34" s="80">
        <f t="shared" si="151"/>
        <v>0</v>
      </c>
      <c r="Z34" s="80">
        <f t="shared" si="5"/>
        <v>0</v>
      </c>
      <c r="AA34" s="81"/>
      <c r="AB34" s="81"/>
      <c r="AC34" s="81"/>
      <c r="AD34" s="81"/>
      <c r="AE34" s="83"/>
      <c r="AF34" s="83"/>
      <c r="AG34" s="128">
        <v>1810.4</v>
      </c>
      <c r="AH34" s="83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2">
        <v>1810.4</v>
      </c>
      <c r="BL34" s="82">
        <v>0</v>
      </c>
      <c r="BM34" s="82">
        <v>0</v>
      </c>
      <c r="BN34" s="81">
        <f t="shared" si="85"/>
        <v>0</v>
      </c>
      <c r="BO34" s="75">
        <f t="shared" si="86"/>
        <v>0</v>
      </c>
      <c r="BP34" s="81">
        <f t="shared" si="87"/>
        <v>0</v>
      </c>
      <c r="BQ34" s="81">
        <f t="shared" si="88"/>
        <v>0</v>
      </c>
      <c r="BR34" s="81">
        <f t="shared" si="89"/>
        <v>0</v>
      </c>
      <c r="BS34" s="81">
        <f t="shared" si="90"/>
        <v>0</v>
      </c>
      <c r="BT34" s="81">
        <f t="shared" si="91"/>
        <v>0</v>
      </c>
      <c r="BU34" s="81">
        <f t="shared" si="92"/>
        <v>0</v>
      </c>
      <c r="BV34" s="81">
        <f t="shared" si="93"/>
        <v>0</v>
      </c>
      <c r="BW34" s="81">
        <f t="shared" si="94"/>
        <v>0</v>
      </c>
      <c r="BX34" s="1"/>
      <c r="BY34" s="1"/>
      <c r="BZ34" s="1"/>
      <c r="CA34" s="1"/>
      <c r="CB34" s="1"/>
      <c r="CC34" s="1"/>
      <c r="CD34" s="1"/>
      <c r="CE34" s="1"/>
      <c r="CF34" s="1"/>
      <c r="CG34" s="1"/>
    </row>
    <row r="35" spans="1:85" ht="15.75" customHeight="1">
      <c r="A35" s="125" t="s">
        <v>173</v>
      </c>
      <c r="B35" s="115"/>
      <c r="C35" s="86" t="s">
        <v>169</v>
      </c>
      <c r="D35" s="126" t="s">
        <v>174</v>
      </c>
      <c r="E35" s="70"/>
      <c r="F35" s="71"/>
      <c r="G35" s="71">
        <f t="shared" si="78"/>
        <v>0</v>
      </c>
      <c r="H35" s="70"/>
      <c r="I35" s="72">
        <f t="shared" si="45"/>
        <v>0</v>
      </c>
      <c r="J35" s="72">
        <f t="shared" si="46"/>
        <v>0</v>
      </c>
      <c r="K35" s="73">
        <v>3899.7</v>
      </c>
      <c r="L35" s="81"/>
      <c r="M35" s="81"/>
      <c r="N35" s="88"/>
      <c r="O35" s="77">
        <f t="shared" ref="O35:Q35" si="152">AA35+AD35+AG35+AJ35+AM35+AP35+AS35+AV35+AY35+BB35+BE35+BH35</f>
        <v>3899.7</v>
      </c>
      <c r="P35" s="77">
        <f t="shared" si="152"/>
        <v>0</v>
      </c>
      <c r="Q35" s="77">
        <f t="shared" si="152"/>
        <v>0</v>
      </c>
      <c r="R35" s="77">
        <f t="shared" ref="R35:T35" si="153">IF(BK35=0,SUM(AA35+AD35+AG35+AJ35+AM35+AP35+AS35+AV35+AY35+BB35+BE35+BH35),BK35)</f>
        <v>3899.7</v>
      </c>
      <c r="S35" s="77">
        <f t="shared" si="153"/>
        <v>0</v>
      </c>
      <c r="T35" s="77">
        <f t="shared" si="153"/>
        <v>0</v>
      </c>
      <c r="U35" s="79">
        <f t="shared" si="81"/>
        <v>0</v>
      </c>
      <c r="V35" s="79">
        <f t="shared" si="82"/>
        <v>0</v>
      </c>
      <c r="W35" s="79">
        <f t="shared" si="83"/>
        <v>0</v>
      </c>
      <c r="X35" s="80">
        <f t="shared" ref="X35:Y35" si="154">IF(O35&gt;0,O35/K35,0)</f>
        <v>1</v>
      </c>
      <c r="Y35" s="80">
        <f t="shared" si="154"/>
        <v>0</v>
      </c>
      <c r="Z35" s="80">
        <f t="shared" si="5"/>
        <v>0</v>
      </c>
      <c r="AA35" s="81"/>
      <c r="AB35" s="81"/>
      <c r="AC35" s="81"/>
      <c r="AD35" s="81"/>
      <c r="AE35" s="83"/>
      <c r="AF35" s="83"/>
      <c r="AG35" s="83"/>
      <c r="AH35" s="83"/>
      <c r="AI35" s="81"/>
      <c r="AJ35" s="81"/>
      <c r="AK35" s="81"/>
      <c r="AL35" s="81"/>
      <c r="AM35" s="81"/>
      <c r="AN35" s="81"/>
      <c r="AO35" s="81"/>
      <c r="AP35" s="81">
        <f>3889.7+10</f>
        <v>3899.7</v>
      </c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2">
        <v>3899.7</v>
      </c>
      <c r="BL35" s="82">
        <v>0</v>
      </c>
      <c r="BM35" s="82">
        <v>0</v>
      </c>
      <c r="BN35" s="81">
        <f t="shared" si="85"/>
        <v>0</v>
      </c>
      <c r="BO35" s="75">
        <f t="shared" si="86"/>
        <v>0</v>
      </c>
      <c r="BP35" s="81">
        <f t="shared" si="87"/>
        <v>0</v>
      </c>
      <c r="BQ35" s="81">
        <f t="shared" si="88"/>
        <v>0</v>
      </c>
      <c r="BR35" s="81">
        <f t="shared" si="89"/>
        <v>0</v>
      </c>
      <c r="BS35" s="81">
        <f t="shared" si="90"/>
        <v>0</v>
      </c>
      <c r="BT35" s="81">
        <f t="shared" si="91"/>
        <v>0</v>
      </c>
      <c r="BU35" s="81">
        <f t="shared" si="92"/>
        <v>0</v>
      </c>
      <c r="BV35" s="81">
        <f t="shared" si="93"/>
        <v>0</v>
      </c>
      <c r="BW35" s="81">
        <f t="shared" si="94"/>
        <v>0</v>
      </c>
      <c r="BX35" s="1"/>
      <c r="BY35" s="1"/>
      <c r="BZ35" s="1"/>
      <c r="CA35" s="1"/>
      <c r="CB35" s="1"/>
      <c r="CC35" s="1"/>
      <c r="CD35" s="1"/>
      <c r="CE35" s="1"/>
      <c r="CF35" s="1"/>
      <c r="CG35" s="1"/>
    </row>
    <row r="36" spans="1:85" ht="15.75" customHeight="1">
      <c r="A36" s="125" t="s">
        <v>175</v>
      </c>
      <c r="B36" s="115"/>
      <c r="C36" s="86" t="s">
        <v>169</v>
      </c>
      <c r="D36" s="126" t="s">
        <v>176</v>
      </c>
      <c r="E36" s="70"/>
      <c r="F36" s="71"/>
      <c r="G36" s="71">
        <f t="shared" si="78"/>
        <v>0</v>
      </c>
      <c r="H36" s="70"/>
      <c r="I36" s="72">
        <f t="shared" si="45"/>
        <v>0</v>
      </c>
      <c r="J36" s="72">
        <f t="shared" si="46"/>
        <v>0</v>
      </c>
      <c r="K36" s="73">
        <v>1108.5</v>
      </c>
      <c r="L36" s="81"/>
      <c r="M36" s="81"/>
      <c r="N36" s="88"/>
      <c r="O36" s="77">
        <f t="shared" ref="O36:Q36" si="155">AA36+AD36+AG36+AJ36+AM36+AP36+AS36+AV36+AY36+BB36+BE36+BH36</f>
        <v>1108.5</v>
      </c>
      <c r="P36" s="77">
        <f t="shared" si="155"/>
        <v>0</v>
      </c>
      <c r="Q36" s="77">
        <f t="shared" si="155"/>
        <v>0</v>
      </c>
      <c r="R36" s="77">
        <f t="shared" ref="R36:T36" si="156">IF(BK36=0,SUM(AA36+AD36+AG36+AJ36+AM36+AP36+AS36+AV36+AY36+BB36+BE36+BH36),BK36)</f>
        <v>1108.5</v>
      </c>
      <c r="S36" s="77">
        <f t="shared" si="156"/>
        <v>0</v>
      </c>
      <c r="T36" s="77">
        <f t="shared" si="156"/>
        <v>0</v>
      </c>
      <c r="U36" s="79">
        <f t="shared" si="81"/>
        <v>0</v>
      </c>
      <c r="V36" s="79">
        <f t="shared" si="82"/>
        <v>0</v>
      </c>
      <c r="W36" s="79">
        <f t="shared" si="83"/>
        <v>0</v>
      </c>
      <c r="X36" s="80">
        <f t="shared" ref="X36:Y36" si="157">IF(O36&gt;0,O36/K36,0)</f>
        <v>1</v>
      </c>
      <c r="Y36" s="80">
        <f t="shared" si="157"/>
        <v>0</v>
      </c>
      <c r="Z36" s="80">
        <f t="shared" si="5"/>
        <v>0</v>
      </c>
      <c r="AA36" s="81"/>
      <c r="AB36" s="81"/>
      <c r="AC36" s="81"/>
      <c r="AD36" s="81"/>
      <c r="AE36" s="83"/>
      <c r="AF36" s="83"/>
      <c r="AG36" s="83"/>
      <c r="AH36" s="83"/>
      <c r="AI36" s="81"/>
      <c r="AJ36" s="81"/>
      <c r="AK36" s="81"/>
      <c r="AL36" s="81"/>
      <c r="AM36" s="81"/>
      <c r="AN36" s="81"/>
      <c r="AO36" s="81"/>
      <c r="AP36" s="82">
        <v>1108.5</v>
      </c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2">
        <v>1108.5</v>
      </c>
      <c r="BL36" s="82">
        <v>0</v>
      </c>
      <c r="BM36" s="82">
        <v>0</v>
      </c>
      <c r="BN36" s="81">
        <f t="shared" si="85"/>
        <v>0</v>
      </c>
      <c r="BO36" s="75">
        <f t="shared" si="86"/>
        <v>0</v>
      </c>
      <c r="BP36" s="81">
        <f t="shared" si="87"/>
        <v>0</v>
      </c>
      <c r="BQ36" s="81">
        <f t="shared" si="88"/>
        <v>0</v>
      </c>
      <c r="BR36" s="81">
        <f t="shared" si="89"/>
        <v>0</v>
      </c>
      <c r="BS36" s="81">
        <f t="shared" si="90"/>
        <v>0</v>
      </c>
      <c r="BT36" s="81">
        <f t="shared" si="91"/>
        <v>0</v>
      </c>
      <c r="BU36" s="81">
        <f t="shared" si="92"/>
        <v>0</v>
      </c>
      <c r="BV36" s="81">
        <f t="shared" si="93"/>
        <v>0</v>
      </c>
      <c r="BW36" s="81">
        <f t="shared" si="94"/>
        <v>0</v>
      </c>
      <c r="BX36" s="1"/>
      <c r="BY36" s="1"/>
      <c r="BZ36" s="1"/>
      <c r="CA36" s="1"/>
      <c r="CB36" s="1"/>
      <c r="CC36" s="1"/>
      <c r="CD36" s="1"/>
      <c r="CE36" s="1"/>
      <c r="CF36" s="1"/>
      <c r="CG36" s="1"/>
    </row>
    <row r="37" spans="1:85" ht="15.75" customHeight="1">
      <c r="A37" s="125" t="s">
        <v>177</v>
      </c>
      <c r="B37" s="115"/>
      <c r="C37" s="86" t="s">
        <v>169</v>
      </c>
      <c r="D37" s="126" t="s">
        <v>178</v>
      </c>
      <c r="E37" s="70"/>
      <c r="F37" s="71"/>
      <c r="G37" s="71">
        <f t="shared" si="78"/>
        <v>0</v>
      </c>
      <c r="H37" s="70"/>
      <c r="I37" s="72">
        <f t="shared" si="45"/>
        <v>0</v>
      </c>
      <c r="J37" s="72">
        <f t="shared" si="46"/>
        <v>0</v>
      </c>
      <c r="K37" s="73">
        <v>699.8</v>
      </c>
      <c r="L37" s="81"/>
      <c r="M37" s="81"/>
      <c r="N37" s="88"/>
      <c r="O37" s="77">
        <f t="shared" ref="O37:Q37" si="158">AA37+AD37+AG37+AJ37+AM37+AP37+AS37+AV37+AY37+BB37+BE37+BH37</f>
        <v>699.8</v>
      </c>
      <c r="P37" s="77">
        <f t="shared" si="158"/>
        <v>0</v>
      </c>
      <c r="Q37" s="77">
        <f t="shared" si="158"/>
        <v>0</v>
      </c>
      <c r="R37" s="77">
        <f t="shared" ref="R37:T37" si="159">IF(BK37=0,SUM(AA37+AD37+AG37+AJ37+AM37+AP37+AS37+AV37+AY37+BB37+BE37+BH37),BK37)</f>
        <v>699.8</v>
      </c>
      <c r="S37" s="77">
        <f t="shared" si="159"/>
        <v>0</v>
      </c>
      <c r="T37" s="77">
        <f t="shared" si="159"/>
        <v>0</v>
      </c>
      <c r="U37" s="79">
        <f t="shared" si="81"/>
        <v>0</v>
      </c>
      <c r="V37" s="79">
        <f t="shared" si="82"/>
        <v>0</v>
      </c>
      <c r="W37" s="79">
        <f t="shared" si="83"/>
        <v>0</v>
      </c>
      <c r="X37" s="80">
        <f t="shared" ref="X37:Y37" si="160">IF(O37&gt;0,O37/K37,0)</f>
        <v>1</v>
      </c>
      <c r="Y37" s="80">
        <f t="shared" si="160"/>
        <v>0</v>
      </c>
      <c r="Z37" s="80">
        <f t="shared" si="5"/>
        <v>0</v>
      </c>
      <c r="AA37" s="81"/>
      <c r="AB37" s="81"/>
      <c r="AC37" s="81"/>
      <c r="AD37" s="81"/>
      <c r="AE37" s="83"/>
      <c r="AF37" s="83"/>
      <c r="AG37" s="83"/>
      <c r="AH37" s="83"/>
      <c r="AI37" s="81"/>
      <c r="AJ37" s="82">
        <v>699.8</v>
      </c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2">
        <v>699.8</v>
      </c>
      <c r="BL37" s="82">
        <v>0</v>
      </c>
      <c r="BM37" s="82">
        <v>0</v>
      </c>
      <c r="BN37" s="81">
        <f t="shared" si="85"/>
        <v>0</v>
      </c>
      <c r="BO37" s="75">
        <f t="shared" si="86"/>
        <v>0</v>
      </c>
      <c r="BP37" s="81">
        <f t="shared" si="87"/>
        <v>0</v>
      </c>
      <c r="BQ37" s="81">
        <f t="shared" si="88"/>
        <v>0</v>
      </c>
      <c r="BR37" s="81">
        <f t="shared" si="89"/>
        <v>0</v>
      </c>
      <c r="BS37" s="81">
        <f t="shared" si="90"/>
        <v>0</v>
      </c>
      <c r="BT37" s="81">
        <f t="shared" si="91"/>
        <v>0</v>
      </c>
      <c r="BU37" s="81">
        <f t="shared" si="92"/>
        <v>0</v>
      </c>
      <c r="BV37" s="81">
        <f t="shared" si="93"/>
        <v>0</v>
      </c>
      <c r="BW37" s="81">
        <f t="shared" si="94"/>
        <v>0</v>
      </c>
      <c r="BX37" s="1"/>
      <c r="BY37" s="1"/>
      <c r="BZ37" s="1"/>
      <c r="CA37" s="1"/>
      <c r="CB37" s="1"/>
      <c r="CC37" s="1"/>
      <c r="CD37" s="1"/>
      <c r="CE37" s="1"/>
      <c r="CF37" s="1"/>
      <c r="CG37" s="1"/>
    </row>
    <row r="38" spans="1:85" ht="15.75" customHeight="1">
      <c r="A38" s="125" t="s">
        <v>179</v>
      </c>
      <c r="B38" s="115"/>
      <c r="C38" s="86" t="s">
        <v>169</v>
      </c>
      <c r="D38" s="126" t="s">
        <v>180</v>
      </c>
      <c r="E38" s="70"/>
      <c r="F38" s="71"/>
      <c r="G38" s="71">
        <f t="shared" si="78"/>
        <v>0</v>
      </c>
      <c r="H38" s="70"/>
      <c r="I38" s="72">
        <f t="shared" si="45"/>
        <v>0</v>
      </c>
      <c r="J38" s="72">
        <f t="shared" si="46"/>
        <v>0</v>
      </c>
      <c r="K38" s="73">
        <v>1843.26</v>
      </c>
      <c r="L38" s="81"/>
      <c r="M38" s="81"/>
      <c r="N38" s="88"/>
      <c r="O38" s="77">
        <f t="shared" ref="O38:Q38" si="161">AA38+AD38+AG38+AJ38+AM38+AP38+AS38+AV38+AY38+BB38+BE38+BH38</f>
        <v>1843.26</v>
      </c>
      <c r="P38" s="77">
        <f t="shared" si="161"/>
        <v>0</v>
      </c>
      <c r="Q38" s="77">
        <f t="shared" si="161"/>
        <v>0</v>
      </c>
      <c r="R38" s="77">
        <f t="shared" ref="R38:T38" si="162">IF(BK38=0,SUM(AA38+AD38+AG38+AJ38+AM38+AP38+AS38+AV38+AY38+BB38+BE38+BH38),BK38)</f>
        <v>1843.26</v>
      </c>
      <c r="S38" s="77">
        <f t="shared" si="162"/>
        <v>0</v>
      </c>
      <c r="T38" s="77">
        <f t="shared" si="162"/>
        <v>0</v>
      </c>
      <c r="U38" s="79">
        <f t="shared" si="81"/>
        <v>0</v>
      </c>
      <c r="V38" s="79">
        <f t="shared" si="82"/>
        <v>0</v>
      </c>
      <c r="W38" s="79">
        <f t="shared" si="83"/>
        <v>0</v>
      </c>
      <c r="X38" s="80">
        <f t="shared" ref="X38:Y38" si="163">IF(O38&gt;0,O38/K38,0)</f>
        <v>1</v>
      </c>
      <c r="Y38" s="80">
        <f t="shared" si="163"/>
        <v>0</v>
      </c>
      <c r="Z38" s="80">
        <f t="shared" si="5"/>
        <v>0</v>
      </c>
      <c r="AA38" s="81"/>
      <c r="AB38" s="81"/>
      <c r="AC38" s="81"/>
      <c r="AD38" s="81"/>
      <c r="AE38" s="83"/>
      <c r="AF38" s="83"/>
      <c r="AG38" s="83"/>
      <c r="AH38" s="83"/>
      <c r="AI38" s="81"/>
      <c r="AJ38" s="81"/>
      <c r="AK38" s="81"/>
      <c r="AL38" s="81"/>
      <c r="AM38" s="81"/>
      <c r="AN38" s="81"/>
      <c r="AO38" s="81"/>
      <c r="AP38" s="82">
        <v>1843.26</v>
      </c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2">
        <v>1843.26</v>
      </c>
      <c r="BL38" s="82">
        <v>0</v>
      </c>
      <c r="BM38" s="82">
        <v>0</v>
      </c>
      <c r="BN38" s="81">
        <f t="shared" si="85"/>
        <v>0</v>
      </c>
      <c r="BO38" s="75">
        <f t="shared" si="86"/>
        <v>0</v>
      </c>
      <c r="BP38" s="81">
        <f t="shared" si="87"/>
        <v>0</v>
      </c>
      <c r="BQ38" s="81">
        <f t="shared" si="88"/>
        <v>0</v>
      </c>
      <c r="BR38" s="81">
        <f t="shared" si="89"/>
        <v>0</v>
      </c>
      <c r="BS38" s="81">
        <f t="shared" si="90"/>
        <v>0</v>
      </c>
      <c r="BT38" s="81">
        <f t="shared" si="91"/>
        <v>0</v>
      </c>
      <c r="BU38" s="81">
        <f t="shared" si="92"/>
        <v>0</v>
      </c>
      <c r="BV38" s="81">
        <f t="shared" si="93"/>
        <v>0</v>
      </c>
      <c r="BW38" s="81">
        <f t="shared" si="94"/>
        <v>0</v>
      </c>
      <c r="BX38" s="1"/>
      <c r="BY38" s="1"/>
      <c r="BZ38" s="1"/>
      <c r="CA38" s="1"/>
      <c r="CB38" s="1"/>
      <c r="CC38" s="1"/>
      <c r="CD38" s="1"/>
      <c r="CE38" s="1"/>
      <c r="CF38" s="1"/>
      <c r="CG38" s="1"/>
    </row>
    <row r="39" spans="1:85" ht="15.75" customHeight="1">
      <c r="A39" s="125" t="s">
        <v>181</v>
      </c>
      <c r="B39" s="115"/>
      <c r="C39" s="86" t="s">
        <v>169</v>
      </c>
      <c r="D39" s="126" t="s">
        <v>182</v>
      </c>
      <c r="E39" s="70"/>
      <c r="F39" s="71"/>
      <c r="G39" s="71">
        <f t="shared" si="78"/>
        <v>0</v>
      </c>
      <c r="H39" s="70"/>
      <c r="I39" s="72">
        <f t="shared" si="45"/>
        <v>0</v>
      </c>
      <c r="J39" s="72">
        <f t="shared" si="46"/>
        <v>0</v>
      </c>
      <c r="K39" s="73">
        <v>6909</v>
      </c>
      <c r="L39" s="81"/>
      <c r="M39" s="81"/>
      <c r="N39" s="88"/>
      <c r="O39" s="77">
        <f t="shared" ref="O39:Q39" si="164">AA39+AD39+AG39+AJ39+AM39+AP39+AS39+AV39+AY39+BB39+BE39+BH39</f>
        <v>6909</v>
      </c>
      <c r="P39" s="77">
        <f t="shared" si="164"/>
        <v>0</v>
      </c>
      <c r="Q39" s="77">
        <f t="shared" si="164"/>
        <v>0</v>
      </c>
      <c r="R39" s="77">
        <f t="shared" ref="R39:T39" si="165">IF(BK39=0,SUM(AA39+AD39+AG39+AJ39+AM39+AP39+AS39+AV39+AY39+BB39+BE39+BH39),BK39)</f>
        <v>6909</v>
      </c>
      <c r="S39" s="77">
        <f t="shared" si="165"/>
        <v>0</v>
      </c>
      <c r="T39" s="77">
        <f t="shared" si="165"/>
        <v>0</v>
      </c>
      <c r="U39" s="79">
        <f t="shared" si="81"/>
        <v>0</v>
      </c>
      <c r="V39" s="79">
        <f t="shared" si="82"/>
        <v>0</v>
      </c>
      <c r="W39" s="79">
        <f t="shared" si="83"/>
        <v>0</v>
      </c>
      <c r="X39" s="80">
        <f t="shared" ref="X39:Y39" si="166">IF(O39&gt;0,O39/K39,0)</f>
        <v>1</v>
      </c>
      <c r="Y39" s="80">
        <f t="shared" si="166"/>
        <v>0</v>
      </c>
      <c r="Z39" s="80">
        <f t="shared" si="5"/>
        <v>0</v>
      </c>
      <c r="AA39" s="81"/>
      <c r="AB39" s="81"/>
      <c r="AC39" s="81"/>
      <c r="AD39" s="81"/>
      <c r="AE39" s="83"/>
      <c r="AF39" s="83"/>
      <c r="AG39" s="128">
        <v>4410</v>
      </c>
      <c r="AH39" s="83"/>
      <c r="AI39" s="81"/>
      <c r="AJ39" s="82">
        <v>2499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2">
        <v>6909</v>
      </c>
      <c r="BL39" s="82">
        <v>0</v>
      </c>
      <c r="BM39" s="82">
        <v>0</v>
      </c>
      <c r="BN39" s="81">
        <f t="shared" si="85"/>
        <v>0</v>
      </c>
      <c r="BO39" s="75">
        <f t="shared" si="86"/>
        <v>0</v>
      </c>
      <c r="BP39" s="81">
        <f t="shared" si="87"/>
        <v>0</v>
      </c>
      <c r="BQ39" s="81">
        <f t="shared" si="88"/>
        <v>0</v>
      </c>
      <c r="BR39" s="81">
        <f t="shared" si="89"/>
        <v>0</v>
      </c>
      <c r="BS39" s="81">
        <f t="shared" si="90"/>
        <v>0</v>
      </c>
      <c r="BT39" s="81">
        <f t="shared" si="91"/>
        <v>0</v>
      </c>
      <c r="BU39" s="81">
        <f t="shared" si="92"/>
        <v>0</v>
      </c>
      <c r="BV39" s="81">
        <f t="shared" si="93"/>
        <v>0</v>
      </c>
      <c r="BW39" s="81">
        <f t="shared" si="94"/>
        <v>0</v>
      </c>
      <c r="BX39" s="1"/>
      <c r="BY39" s="1"/>
      <c r="BZ39" s="1"/>
      <c r="CA39" s="1"/>
      <c r="CB39" s="1"/>
      <c r="CC39" s="1"/>
      <c r="CD39" s="1"/>
      <c r="CE39" s="1"/>
      <c r="CF39" s="1"/>
      <c r="CG39" s="1"/>
    </row>
    <row r="40" spans="1:85" ht="15.75" customHeight="1">
      <c r="A40" s="125" t="s">
        <v>183</v>
      </c>
      <c r="B40" s="115"/>
      <c r="C40" s="86" t="s">
        <v>169</v>
      </c>
      <c r="D40" s="126" t="s">
        <v>184</v>
      </c>
      <c r="E40" s="70"/>
      <c r="F40" s="71"/>
      <c r="G40" s="71">
        <f t="shared" si="78"/>
        <v>0</v>
      </c>
      <c r="H40" s="70"/>
      <c r="I40" s="72">
        <f t="shared" si="45"/>
        <v>0</v>
      </c>
      <c r="J40" s="72">
        <f t="shared" si="46"/>
        <v>0</v>
      </c>
      <c r="K40" s="73">
        <v>1483.2</v>
      </c>
      <c r="L40" s="81"/>
      <c r="M40" s="81"/>
      <c r="N40" s="88"/>
      <c r="O40" s="77">
        <f t="shared" ref="O40:Q40" si="167">AA40+AD40+AG40+AJ40+AM40+AP40+AS40+AV40+AY40+BB40+BE40+BH40</f>
        <v>1483.2</v>
      </c>
      <c r="P40" s="77">
        <f t="shared" si="167"/>
        <v>0</v>
      </c>
      <c r="Q40" s="77">
        <f t="shared" si="167"/>
        <v>0</v>
      </c>
      <c r="R40" s="77">
        <f t="shared" ref="R40:T40" si="168">IF(BK40=0,SUM(AA40+AD40+AG40+AJ40+AM40+AP40+AS40+AV40+AY40+BB40+BE40+BH40),BK40)</f>
        <v>1483.2</v>
      </c>
      <c r="S40" s="77">
        <f t="shared" si="168"/>
        <v>0</v>
      </c>
      <c r="T40" s="77">
        <f t="shared" si="168"/>
        <v>0</v>
      </c>
      <c r="U40" s="79">
        <f t="shared" si="81"/>
        <v>0</v>
      </c>
      <c r="V40" s="79">
        <f t="shared" si="82"/>
        <v>0</v>
      </c>
      <c r="W40" s="79">
        <f t="shared" si="83"/>
        <v>0</v>
      </c>
      <c r="X40" s="80">
        <f t="shared" ref="X40:Y40" si="169">IF(O40&gt;0,O40/K40,0)</f>
        <v>1</v>
      </c>
      <c r="Y40" s="80">
        <f t="shared" si="169"/>
        <v>0</v>
      </c>
      <c r="Z40" s="80">
        <f t="shared" si="5"/>
        <v>0</v>
      </c>
      <c r="AA40" s="81"/>
      <c r="AB40" s="81"/>
      <c r="AC40" s="81"/>
      <c r="AD40" s="81"/>
      <c r="AE40" s="83"/>
      <c r="AF40" s="83"/>
      <c r="AG40" s="128">
        <v>1483.2</v>
      </c>
      <c r="AH40" s="83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2">
        <v>1483.2</v>
      </c>
      <c r="BL40" s="82">
        <v>0</v>
      </c>
      <c r="BM40" s="82">
        <v>0</v>
      </c>
      <c r="BN40" s="81">
        <f t="shared" si="85"/>
        <v>0</v>
      </c>
      <c r="BO40" s="75">
        <f t="shared" si="86"/>
        <v>0</v>
      </c>
      <c r="BP40" s="81">
        <f t="shared" si="87"/>
        <v>0</v>
      </c>
      <c r="BQ40" s="81">
        <f t="shared" si="88"/>
        <v>0</v>
      </c>
      <c r="BR40" s="81">
        <f t="shared" si="89"/>
        <v>0</v>
      </c>
      <c r="BS40" s="81">
        <f t="shared" si="90"/>
        <v>0</v>
      </c>
      <c r="BT40" s="81">
        <f t="shared" si="91"/>
        <v>0</v>
      </c>
      <c r="BU40" s="81">
        <f t="shared" si="92"/>
        <v>0</v>
      </c>
      <c r="BV40" s="81">
        <f t="shared" si="93"/>
        <v>0</v>
      </c>
      <c r="BW40" s="81">
        <f t="shared" si="94"/>
        <v>0</v>
      </c>
      <c r="BX40" s="1"/>
      <c r="BY40" s="1"/>
      <c r="BZ40" s="1"/>
      <c r="CA40" s="1"/>
      <c r="CB40" s="1"/>
      <c r="CC40" s="1"/>
      <c r="CD40" s="1"/>
      <c r="CE40" s="1"/>
      <c r="CF40" s="1"/>
      <c r="CG40" s="1"/>
    </row>
    <row r="41" spans="1:85" ht="15.75" customHeight="1">
      <c r="A41" s="125" t="s">
        <v>185</v>
      </c>
      <c r="B41" s="115"/>
      <c r="C41" s="86" t="s">
        <v>169</v>
      </c>
      <c r="D41" s="126" t="s">
        <v>186</v>
      </c>
      <c r="E41" s="70"/>
      <c r="F41" s="71"/>
      <c r="G41" s="71">
        <f t="shared" si="78"/>
        <v>0</v>
      </c>
      <c r="H41" s="70"/>
      <c r="I41" s="72">
        <f t="shared" si="45"/>
        <v>0</v>
      </c>
      <c r="J41" s="72">
        <f t="shared" si="46"/>
        <v>0</v>
      </c>
      <c r="K41" s="73">
        <v>841.74</v>
      </c>
      <c r="L41" s="81"/>
      <c r="M41" s="81"/>
      <c r="N41" s="88"/>
      <c r="O41" s="77">
        <f t="shared" ref="O41:Q41" si="170">AA41+AD41+AG41+AJ41+AM41+AP41+AS41+AV41+AY41+BB41+BE41+BH41</f>
        <v>841.74</v>
      </c>
      <c r="P41" s="77">
        <f t="shared" si="170"/>
        <v>0</v>
      </c>
      <c r="Q41" s="77">
        <f t="shared" si="170"/>
        <v>0</v>
      </c>
      <c r="R41" s="77">
        <f t="shared" ref="R41:T41" si="171">IF(BK41=0,SUM(AA41+AD41+AG41+AJ41+AM41+AP41+AS41+AV41+AY41+BB41+BE41+BH41),BK41)</f>
        <v>841.74</v>
      </c>
      <c r="S41" s="77">
        <f t="shared" si="171"/>
        <v>0</v>
      </c>
      <c r="T41" s="77">
        <f t="shared" si="171"/>
        <v>0</v>
      </c>
      <c r="U41" s="79">
        <f t="shared" si="81"/>
        <v>0</v>
      </c>
      <c r="V41" s="79">
        <f t="shared" si="82"/>
        <v>0</v>
      </c>
      <c r="W41" s="79">
        <f t="shared" si="83"/>
        <v>0</v>
      </c>
      <c r="X41" s="80">
        <f t="shared" ref="X41:Y41" si="172">IF(O41&gt;0,O41/K41,0)</f>
        <v>1</v>
      </c>
      <c r="Y41" s="80">
        <f t="shared" si="172"/>
        <v>0</v>
      </c>
      <c r="Z41" s="80">
        <f t="shared" si="5"/>
        <v>0</v>
      </c>
      <c r="AA41" s="81"/>
      <c r="AB41" s="81"/>
      <c r="AC41" s="81"/>
      <c r="AD41" s="81"/>
      <c r="AE41" s="83"/>
      <c r="AF41" s="83"/>
      <c r="AG41" s="83"/>
      <c r="AH41" s="83"/>
      <c r="AI41" s="81"/>
      <c r="AJ41" s="82">
        <v>841.74</v>
      </c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2">
        <v>841.74</v>
      </c>
      <c r="BL41" s="82">
        <v>0</v>
      </c>
      <c r="BM41" s="82">
        <v>0</v>
      </c>
      <c r="BN41" s="81">
        <f t="shared" si="85"/>
        <v>0</v>
      </c>
      <c r="BO41" s="75">
        <f t="shared" si="86"/>
        <v>0</v>
      </c>
      <c r="BP41" s="81">
        <f t="shared" si="87"/>
        <v>0</v>
      </c>
      <c r="BQ41" s="81">
        <f t="shared" si="88"/>
        <v>0</v>
      </c>
      <c r="BR41" s="81">
        <f t="shared" si="89"/>
        <v>0</v>
      </c>
      <c r="BS41" s="81">
        <f t="shared" si="90"/>
        <v>0</v>
      </c>
      <c r="BT41" s="81">
        <f t="shared" si="91"/>
        <v>0</v>
      </c>
      <c r="BU41" s="81">
        <f t="shared" si="92"/>
        <v>0</v>
      </c>
      <c r="BV41" s="81">
        <f t="shared" si="93"/>
        <v>0</v>
      </c>
      <c r="BW41" s="81">
        <f t="shared" si="94"/>
        <v>0</v>
      </c>
      <c r="BX41" s="1"/>
      <c r="BY41" s="1"/>
      <c r="BZ41" s="1"/>
      <c r="CA41" s="1"/>
      <c r="CB41" s="1"/>
      <c r="CC41" s="1"/>
      <c r="CD41" s="1"/>
      <c r="CE41" s="1"/>
      <c r="CF41" s="1"/>
      <c r="CG41" s="1"/>
    </row>
    <row r="42" spans="1:85" ht="15.75" customHeight="1">
      <c r="A42" s="125" t="s">
        <v>187</v>
      </c>
      <c r="B42" s="115"/>
      <c r="C42" s="86" t="s">
        <v>169</v>
      </c>
      <c r="D42" s="126" t="s">
        <v>188</v>
      </c>
      <c r="E42" s="70"/>
      <c r="F42" s="71"/>
      <c r="G42" s="71">
        <f t="shared" si="78"/>
        <v>0</v>
      </c>
      <c r="H42" s="70"/>
      <c r="I42" s="72">
        <f t="shared" si="45"/>
        <v>0</v>
      </c>
      <c r="J42" s="72">
        <f t="shared" si="46"/>
        <v>0</v>
      </c>
      <c r="K42" s="73">
        <v>132.25</v>
      </c>
      <c r="L42" s="81"/>
      <c r="M42" s="81"/>
      <c r="N42" s="88"/>
      <c r="O42" s="77">
        <f t="shared" ref="O42:Q42" si="173">AA42+AD42+AG42+AJ42+AM42+AP42+AS42+AV42+AY42+BB42+BE42+BH42</f>
        <v>132.25</v>
      </c>
      <c r="P42" s="77">
        <f t="shared" si="173"/>
        <v>0</v>
      </c>
      <c r="Q42" s="77">
        <f t="shared" si="173"/>
        <v>0</v>
      </c>
      <c r="R42" s="77">
        <f t="shared" ref="R42:T42" si="174">IF(BK42=0,SUM(AA42+AD42+AG42+AJ42+AM42+AP42+AS42+AV42+AY42+BB42+BE42+BH42),BK42)</f>
        <v>132.25</v>
      </c>
      <c r="S42" s="77">
        <f t="shared" si="174"/>
        <v>0</v>
      </c>
      <c r="T42" s="77">
        <f t="shared" si="174"/>
        <v>0</v>
      </c>
      <c r="U42" s="79">
        <f t="shared" si="81"/>
        <v>0</v>
      </c>
      <c r="V42" s="79">
        <f t="shared" si="82"/>
        <v>0</v>
      </c>
      <c r="W42" s="79">
        <f t="shared" si="83"/>
        <v>0</v>
      </c>
      <c r="X42" s="80">
        <f t="shared" ref="X42:Y42" si="175">IF(O42&gt;0,O42/K42,0)</f>
        <v>1</v>
      </c>
      <c r="Y42" s="80">
        <f t="shared" si="175"/>
        <v>0</v>
      </c>
      <c r="Z42" s="80">
        <f t="shared" si="5"/>
        <v>0</v>
      </c>
      <c r="AA42" s="81"/>
      <c r="AB42" s="81"/>
      <c r="AC42" s="81"/>
      <c r="AD42" s="81"/>
      <c r="AE42" s="83"/>
      <c r="AF42" s="83"/>
      <c r="AG42" s="83"/>
      <c r="AH42" s="83"/>
      <c r="AI42" s="81"/>
      <c r="AJ42" s="82">
        <v>132.25</v>
      </c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2">
        <v>132.25</v>
      </c>
      <c r="BL42" s="82">
        <v>0</v>
      </c>
      <c r="BM42" s="82">
        <v>0</v>
      </c>
      <c r="BN42" s="81">
        <f t="shared" si="85"/>
        <v>0</v>
      </c>
      <c r="BO42" s="75">
        <f t="shared" si="86"/>
        <v>0</v>
      </c>
      <c r="BP42" s="81">
        <f t="shared" si="87"/>
        <v>0</v>
      </c>
      <c r="BQ42" s="81">
        <f t="shared" si="88"/>
        <v>0</v>
      </c>
      <c r="BR42" s="81">
        <f t="shared" si="89"/>
        <v>0</v>
      </c>
      <c r="BS42" s="81">
        <f t="shared" si="90"/>
        <v>0</v>
      </c>
      <c r="BT42" s="81">
        <f t="shared" si="91"/>
        <v>0</v>
      </c>
      <c r="BU42" s="81">
        <f t="shared" si="92"/>
        <v>0</v>
      </c>
      <c r="BV42" s="81">
        <f t="shared" si="93"/>
        <v>0</v>
      </c>
      <c r="BW42" s="81">
        <f t="shared" si="94"/>
        <v>0</v>
      </c>
      <c r="BX42" s="1"/>
      <c r="BY42" s="1"/>
      <c r="BZ42" s="1"/>
      <c r="CA42" s="1"/>
      <c r="CB42" s="1"/>
      <c r="CC42" s="1"/>
      <c r="CD42" s="1"/>
      <c r="CE42" s="1"/>
      <c r="CF42" s="1"/>
      <c r="CG42" s="1"/>
    </row>
    <row r="43" spans="1:85" ht="15.75" customHeight="1">
      <c r="A43" s="125" t="s">
        <v>189</v>
      </c>
      <c r="B43" s="115"/>
      <c r="C43" s="86" t="s">
        <v>169</v>
      </c>
      <c r="D43" s="126" t="s">
        <v>190</v>
      </c>
      <c r="E43" s="70"/>
      <c r="F43" s="71"/>
      <c r="G43" s="71">
        <f t="shared" si="78"/>
        <v>0</v>
      </c>
      <c r="H43" s="70"/>
      <c r="I43" s="72">
        <f t="shared" si="45"/>
        <v>0</v>
      </c>
      <c r="J43" s="72">
        <f t="shared" si="46"/>
        <v>0</v>
      </c>
      <c r="K43" s="73">
        <v>6884.45</v>
      </c>
      <c r="L43" s="81"/>
      <c r="M43" s="81"/>
      <c r="N43" s="88"/>
      <c r="O43" s="77">
        <f t="shared" ref="O43:Q43" si="176">AA43+AD43+AG43+AJ43+AM43+AP43+AS43+AV43+AY43+BB43+BE43+BH43</f>
        <v>6884.45</v>
      </c>
      <c r="P43" s="77">
        <f t="shared" si="176"/>
        <v>0</v>
      </c>
      <c r="Q43" s="77">
        <f t="shared" si="176"/>
        <v>0</v>
      </c>
      <c r="R43" s="77">
        <f t="shared" ref="R43:T43" si="177">IF(BK43=0,SUM(AA43+AD43+AG43+AJ43+AM43+AP43+AS43+AV43+AY43+BB43+BE43+BH43),BK43)</f>
        <v>6884.45</v>
      </c>
      <c r="S43" s="77">
        <f t="shared" si="177"/>
        <v>0</v>
      </c>
      <c r="T43" s="77">
        <f t="shared" si="177"/>
        <v>0</v>
      </c>
      <c r="U43" s="79">
        <f t="shared" si="81"/>
        <v>0</v>
      </c>
      <c r="V43" s="79">
        <f t="shared" si="82"/>
        <v>0</v>
      </c>
      <c r="W43" s="79">
        <f t="shared" si="83"/>
        <v>0</v>
      </c>
      <c r="X43" s="80">
        <f t="shared" ref="X43:Y43" si="178">IF(O43&gt;0,O43/K43,0)</f>
        <v>1</v>
      </c>
      <c r="Y43" s="80">
        <f t="shared" si="178"/>
        <v>0</v>
      </c>
      <c r="Z43" s="80">
        <f t="shared" si="5"/>
        <v>0</v>
      </c>
      <c r="AA43" s="81"/>
      <c r="AB43" s="81"/>
      <c r="AC43" s="81"/>
      <c r="AD43" s="81"/>
      <c r="AE43" s="83"/>
      <c r="AF43" s="83"/>
      <c r="AG43" s="83"/>
      <c r="AH43" s="83"/>
      <c r="AI43" s="81"/>
      <c r="AJ43" s="81"/>
      <c r="AK43" s="81"/>
      <c r="AL43" s="81"/>
      <c r="AM43" s="82">
        <v>6884.45</v>
      </c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2">
        <v>6884.45</v>
      </c>
      <c r="BL43" s="82">
        <v>0</v>
      </c>
      <c r="BM43" s="82">
        <v>0</v>
      </c>
      <c r="BN43" s="81">
        <f t="shared" si="85"/>
        <v>0</v>
      </c>
      <c r="BO43" s="75">
        <f t="shared" si="86"/>
        <v>0</v>
      </c>
      <c r="BP43" s="81">
        <f t="shared" si="87"/>
        <v>0</v>
      </c>
      <c r="BQ43" s="81">
        <f t="shared" si="88"/>
        <v>0</v>
      </c>
      <c r="BR43" s="81">
        <f t="shared" si="89"/>
        <v>0</v>
      </c>
      <c r="BS43" s="81">
        <f t="shared" si="90"/>
        <v>0</v>
      </c>
      <c r="BT43" s="81">
        <f t="shared" si="91"/>
        <v>0</v>
      </c>
      <c r="BU43" s="81">
        <f t="shared" si="92"/>
        <v>0</v>
      </c>
      <c r="BV43" s="81">
        <f t="shared" si="93"/>
        <v>0</v>
      </c>
      <c r="BW43" s="81">
        <f t="shared" si="94"/>
        <v>0</v>
      </c>
      <c r="BX43" s="1"/>
      <c r="BY43" s="1"/>
      <c r="BZ43" s="1"/>
      <c r="CA43" s="1"/>
      <c r="CB43" s="1"/>
      <c r="CC43" s="1"/>
      <c r="CD43" s="1"/>
      <c r="CE43" s="1"/>
      <c r="CF43" s="1"/>
      <c r="CG43" s="1"/>
    </row>
    <row r="44" spans="1:85" ht="15.75" customHeight="1">
      <c r="A44" s="125" t="s">
        <v>191</v>
      </c>
      <c r="B44" s="115"/>
      <c r="C44" s="129" t="s">
        <v>169</v>
      </c>
      <c r="D44" s="126" t="s">
        <v>192</v>
      </c>
      <c r="E44" s="70"/>
      <c r="F44" s="71"/>
      <c r="G44" s="71">
        <f t="shared" si="78"/>
        <v>0</v>
      </c>
      <c r="H44" s="70"/>
      <c r="I44" s="72">
        <f t="shared" si="45"/>
        <v>0</v>
      </c>
      <c r="J44" s="72">
        <f t="shared" si="46"/>
        <v>0</v>
      </c>
      <c r="K44" s="73">
        <v>494.64</v>
      </c>
      <c r="L44" s="81"/>
      <c r="M44" s="81"/>
      <c r="N44" s="88"/>
      <c r="O44" s="77">
        <f t="shared" ref="O44:Q44" si="179">AA44+AD44+AG44+AJ44+AM44+AP44+AS44+AV44+AY44+BB44+BE44+BH44</f>
        <v>494.64</v>
      </c>
      <c r="P44" s="77">
        <f t="shared" si="179"/>
        <v>0</v>
      </c>
      <c r="Q44" s="77">
        <f t="shared" si="179"/>
        <v>0</v>
      </c>
      <c r="R44" s="77">
        <f t="shared" ref="R44:T44" si="180">IF(BK44=0,SUM(AA44+AD44+AG44+AJ44+AM44+AP44+AS44+AV44+AY44+BB44+BE44+BH44),BK44)</f>
        <v>494.64</v>
      </c>
      <c r="S44" s="77">
        <f t="shared" si="180"/>
        <v>0</v>
      </c>
      <c r="T44" s="77">
        <f t="shared" si="180"/>
        <v>0</v>
      </c>
      <c r="U44" s="79">
        <f t="shared" si="81"/>
        <v>0</v>
      </c>
      <c r="V44" s="79">
        <f t="shared" si="82"/>
        <v>0</v>
      </c>
      <c r="W44" s="79">
        <f t="shared" si="83"/>
        <v>0</v>
      </c>
      <c r="X44" s="80">
        <f t="shared" ref="X44:Y44" si="181">IF(O44&gt;0,O44/K44,0)</f>
        <v>1</v>
      </c>
      <c r="Y44" s="80">
        <f t="shared" si="181"/>
        <v>0</v>
      </c>
      <c r="Z44" s="80">
        <f t="shared" si="5"/>
        <v>0</v>
      </c>
      <c r="AA44" s="81"/>
      <c r="AB44" s="81"/>
      <c r="AC44" s="81"/>
      <c r="AD44" s="81"/>
      <c r="AE44" s="83"/>
      <c r="AF44" s="83"/>
      <c r="AG44" s="128">
        <v>494.64</v>
      </c>
      <c r="AH44" s="83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2">
        <v>494.64</v>
      </c>
      <c r="BL44" s="82">
        <v>0</v>
      </c>
      <c r="BM44" s="82">
        <v>0</v>
      </c>
      <c r="BN44" s="81">
        <f t="shared" si="85"/>
        <v>0</v>
      </c>
      <c r="BO44" s="75">
        <f t="shared" si="86"/>
        <v>0</v>
      </c>
      <c r="BP44" s="81">
        <f t="shared" si="87"/>
        <v>0</v>
      </c>
      <c r="BQ44" s="81">
        <f t="shared" si="88"/>
        <v>0</v>
      </c>
      <c r="BR44" s="81">
        <f t="shared" si="89"/>
        <v>0</v>
      </c>
      <c r="BS44" s="81">
        <f t="shared" si="90"/>
        <v>0</v>
      </c>
      <c r="BT44" s="81">
        <f t="shared" si="91"/>
        <v>0</v>
      </c>
      <c r="BU44" s="81">
        <f t="shared" si="92"/>
        <v>0</v>
      </c>
      <c r="BV44" s="81">
        <f t="shared" si="93"/>
        <v>0</v>
      </c>
      <c r="BW44" s="81">
        <f t="shared" si="94"/>
        <v>0</v>
      </c>
      <c r="BX44" s="1"/>
      <c r="BY44" s="1"/>
      <c r="BZ44" s="1"/>
      <c r="CA44" s="1"/>
      <c r="CB44" s="1"/>
      <c r="CC44" s="1"/>
      <c r="CD44" s="1"/>
      <c r="CE44" s="1"/>
      <c r="CF44" s="1"/>
      <c r="CG44" s="1"/>
    </row>
    <row r="45" spans="1:85" ht="15.75" customHeight="1">
      <c r="A45" s="125" t="s">
        <v>193</v>
      </c>
      <c r="B45" s="115"/>
      <c r="C45" s="129" t="s">
        <v>169</v>
      </c>
      <c r="D45" s="126" t="s">
        <v>194</v>
      </c>
      <c r="E45" s="70"/>
      <c r="F45" s="71"/>
      <c r="G45" s="71">
        <f t="shared" si="78"/>
        <v>0</v>
      </c>
      <c r="H45" s="70"/>
      <c r="I45" s="72">
        <f t="shared" si="45"/>
        <v>0</v>
      </c>
      <c r="J45" s="72">
        <f t="shared" si="46"/>
        <v>0</v>
      </c>
      <c r="K45" s="73">
        <v>40000</v>
      </c>
      <c r="L45" s="81"/>
      <c r="M45" s="81"/>
      <c r="N45" s="88"/>
      <c r="O45" s="77">
        <f t="shared" ref="O45:Q45" si="182">AA45+AD45+AG45+AJ45+AM45+AP45+AS45+AV45+AY45+BB45+BE45+BH45</f>
        <v>40000</v>
      </c>
      <c r="P45" s="77">
        <f t="shared" si="182"/>
        <v>0</v>
      </c>
      <c r="Q45" s="77">
        <f t="shared" si="182"/>
        <v>0</v>
      </c>
      <c r="R45" s="77">
        <f t="shared" ref="R45:T45" si="183">IF(BK45=0,SUM(AA45+AD45+AG45+AJ45+AM45+AP45+AS45+AV45+AY45+BB45+BE45+BH45),BK45)</f>
        <v>40000</v>
      </c>
      <c r="S45" s="77">
        <f t="shared" si="183"/>
        <v>0</v>
      </c>
      <c r="T45" s="77">
        <f t="shared" si="183"/>
        <v>0</v>
      </c>
      <c r="U45" s="79">
        <f t="shared" si="81"/>
        <v>0</v>
      </c>
      <c r="V45" s="79">
        <f t="shared" si="82"/>
        <v>0</v>
      </c>
      <c r="W45" s="79">
        <f t="shared" si="83"/>
        <v>0</v>
      </c>
      <c r="X45" s="80">
        <f t="shared" ref="X45:Y45" si="184">IF(O45&gt;0,O45/K45,0)</f>
        <v>1</v>
      </c>
      <c r="Y45" s="80">
        <f t="shared" si="184"/>
        <v>0</v>
      </c>
      <c r="Z45" s="80">
        <f t="shared" si="5"/>
        <v>0</v>
      </c>
      <c r="AA45" s="81"/>
      <c r="AB45" s="81"/>
      <c r="AC45" s="81"/>
      <c r="AD45" s="81"/>
      <c r="AE45" s="83"/>
      <c r="AF45" s="83"/>
      <c r="AG45" s="128"/>
      <c r="AH45" s="83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73">
        <v>8584.65</v>
      </c>
      <c r="AT45" s="81"/>
      <c r="AU45" s="81"/>
      <c r="AV45" s="88">
        <f>587.93+4258.75+2476.5+1847.28</f>
        <v>9170.4600000000009</v>
      </c>
      <c r="AW45" s="81"/>
      <c r="AX45" s="81"/>
      <c r="AY45" s="81">
        <f>1717.7+1078.42+4375.36+4258.75-1717.7+1717.7-1078.42+1078.42</f>
        <v>11430.23</v>
      </c>
      <c r="AZ45" s="81"/>
      <c r="BA45" s="81"/>
      <c r="BB45" s="81">
        <f>780.43+10034.23</f>
        <v>10814.66</v>
      </c>
      <c r="BC45" s="81"/>
      <c r="BD45" s="81"/>
      <c r="BE45" s="81"/>
      <c r="BF45" s="81"/>
      <c r="BG45" s="81"/>
      <c r="BH45" s="81"/>
      <c r="BI45" s="81"/>
      <c r="BJ45" s="81"/>
      <c r="BK45" s="82">
        <v>40000</v>
      </c>
      <c r="BL45" s="82">
        <v>0</v>
      </c>
      <c r="BM45" s="82">
        <v>0</v>
      </c>
      <c r="BN45" s="81">
        <f t="shared" si="85"/>
        <v>0</v>
      </c>
      <c r="BO45" s="75">
        <f t="shared" si="86"/>
        <v>0</v>
      </c>
      <c r="BP45" s="81">
        <f t="shared" si="87"/>
        <v>0</v>
      </c>
      <c r="BQ45" s="81">
        <f t="shared" si="88"/>
        <v>0</v>
      </c>
      <c r="BR45" s="81">
        <f t="shared" si="89"/>
        <v>0</v>
      </c>
      <c r="BS45" s="81">
        <f t="shared" si="90"/>
        <v>0</v>
      </c>
      <c r="BT45" s="81">
        <f t="shared" si="91"/>
        <v>0</v>
      </c>
      <c r="BU45" s="81">
        <f t="shared" si="92"/>
        <v>0</v>
      </c>
      <c r="BV45" s="81">
        <f t="shared" si="93"/>
        <v>0</v>
      </c>
      <c r="BW45" s="81">
        <f t="shared" si="94"/>
        <v>0</v>
      </c>
      <c r="BX45" s="1"/>
      <c r="BY45" s="1"/>
      <c r="BZ45" s="1"/>
      <c r="CA45" s="1"/>
      <c r="CB45" s="1"/>
      <c r="CC45" s="1"/>
      <c r="CD45" s="1"/>
      <c r="CE45" s="1"/>
      <c r="CF45" s="1"/>
      <c r="CG45" s="1"/>
    </row>
    <row r="46" spans="1:85" ht="15.75" customHeight="1">
      <c r="A46" s="125" t="s">
        <v>195</v>
      </c>
      <c r="B46" s="115"/>
      <c r="C46" s="129" t="s">
        <v>169</v>
      </c>
      <c r="D46" s="126" t="s">
        <v>196</v>
      </c>
      <c r="E46" s="70"/>
      <c r="F46" s="71"/>
      <c r="G46" s="71">
        <f t="shared" si="78"/>
        <v>0</v>
      </c>
      <c r="H46" s="70"/>
      <c r="I46" s="72">
        <f t="shared" si="45"/>
        <v>0</v>
      </c>
      <c r="J46" s="72">
        <f t="shared" si="46"/>
        <v>0</v>
      </c>
      <c r="K46" s="73">
        <f>17110-17110</f>
        <v>0</v>
      </c>
      <c r="L46" s="81"/>
      <c r="M46" s="81"/>
      <c r="N46" s="88"/>
      <c r="O46" s="77">
        <f t="shared" ref="O46:Q46" si="185">AA46+AD46+AG46+AJ46+AM46+AP46+AS46+AV46+AY46+BB46+BE46+BH46</f>
        <v>0</v>
      </c>
      <c r="P46" s="77">
        <f t="shared" si="185"/>
        <v>0</v>
      </c>
      <c r="Q46" s="77">
        <f t="shared" si="185"/>
        <v>0</v>
      </c>
      <c r="R46" s="77">
        <f t="shared" ref="R46:T46" si="186">IF(BK46=0,SUM(AA46+AD46+AG46+AJ46+AM46+AP46+AS46+AV46+AY46+BB46+BE46+BH46),BK46)</f>
        <v>0</v>
      </c>
      <c r="S46" s="77">
        <f t="shared" si="186"/>
        <v>0</v>
      </c>
      <c r="T46" s="77">
        <f t="shared" si="186"/>
        <v>0</v>
      </c>
      <c r="U46" s="79">
        <f t="shared" si="81"/>
        <v>0</v>
      </c>
      <c r="V46" s="79">
        <f t="shared" si="82"/>
        <v>0</v>
      </c>
      <c r="W46" s="79">
        <f t="shared" si="83"/>
        <v>0</v>
      </c>
      <c r="X46" s="80">
        <f t="shared" ref="X46:Y46" si="187">IF(O46&gt;0,O46/K46,0)</f>
        <v>0</v>
      </c>
      <c r="Y46" s="80">
        <f t="shared" si="187"/>
        <v>0</v>
      </c>
      <c r="Z46" s="80">
        <f t="shared" si="5"/>
        <v>0</v>
      </c>
      <c r="AA46" s="81"/>
      <c r="AB46" s="81"/>
      <c r="AC46" s="81"/>
      <c r="AD46" s="81"/>
      <c r="AE46" s="83"/>
      <c r="AF46" s="83"/>
      <c r="AG46" s="83"/>
      <c r="AH46" s="83"/>
      <c r="AI46" s="81"/>
      <c r="AJ46" s="81"/>
      <c r="AK46" s="81"/>
      <c r="AL46" s="81"/>
      <c r="AM46" s="81">
        <f>17110-17110</f>
        <v>0</v>
      </c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2">
        <v>0</v>
      </c>
      <c r="BL46" s="82">
        <v>0</v>
      </c>
      <c r="BM46" s="82">
        <v>0</v>
      </c>
      <c r="BN46" s="81">
        <f t="shared" si="85"/>
        <v>0</v>
      </c>
      <c r="BO46" s="75">
        <f t="shared" si="86"/>
        <v>0</v>
      </c>
      <c r="BP46" s="81">
        <f t="shared" si="87"/>
        <v>0</v>
      </c>
      <c r="BQ46" s="81">
        <f t="shared" si="88"/>
        <v>0</v>
      </c>
      <c r="BR46" s="81">
        <f t="shared" si="89"/>
        <v>0</v>
      </c>
      <c r="BS46" s="81">
        <f t="shared" si="90"/>
        <v>0</v>
      </c>
      <c r="BT46" s="81">
        <f t="shared" si="91"/>
        <v>0</v>
      </c>
      <c r="BU46" s="81">
        <f t="shared" si="92"/>
        <v>0</v>
      </c>
      <c r="BV46" s="81">
        <f t="shared" si="93"/>
        <v>0</v>
      </c>
      <c r="BW46" s="81">
        <f t="shared" si="94"/>
        <v>0</v>
      </c>
      <c r="BX46" s="1"/>
      <c r="BY46" s="1"/>
      <c r="BZ46" s="1"/>
      <c r="CA46" s="1"/>
      <c r="CB46" s="1"/>
      <c r="CC46" s="1"/>
      <c r="CD46" s="1"/>
      <c r="CE46" s="1"/>
      <c r="CF46" s="1"/>
      <c r="CG46" s="1"/>
    </row>
    <row r="47" spans="1:85" ht="15.75" customHeight="1">
      <c r="A47" s="125" t="s">
        <v>197</v>
      </c>
      <c r="B47" s="115"/>
      <c r="C47" s="129" t="s">
        <v>169</v>
      </c>
      <c r="D47" s="126" t="s">
        <v>198</v>
      </c>
      <c r="E47" s="70"/>
      <c r="F47" s="71"/>
      <c r="G47" s="71">
        <f t="shared" si="78"/>
        <v>0</v>
      </c>
      <c r="H47" s="70"/>
      <c r="I47" s="72">
        <f t="shared" si="45"/>
        <v>0</v>
      </c>
      <c r="J47" s="72">
        <f t="shared" si="46"/>
        <v>0</v>
      </c>
      <c r="K47" s="73">
        <v>7100</v>
      </c>
      <c r="L47" s="81"/>
      <c r="M47" s="81"/>
      <c r="N47" s="88"/>
      <c r="O47" s="77">
        <f t="shared" ref="O47:Q47" si="188">AA47+AD47+AG47+AJ47+AM47+AP47+AS47+AV47+AY47+BB47+BE47+BH47</f>
        <v>7100</v>
      </c>
      <c r="P47" s="77">
        <f t="shared" si="188"/>
        <v>0</v>
      </c>
      <c r="Q47" s="77">
        <f t="shared" si="188"/>
        <v>0</v>
      </c>
      <c r="R47" s="77">
        <f t="shared" ref="R47:T47" si="189">IF(BK47=0,SUM(AA47+AD47+AG47+AJ47+AM47+AP47+AS47+AV47+AY47+BB47+BE47+BH47),BK47)</f>
        <v>7100</v>
      </c>
      <c r="S47" s="77">
        <f t="shared" si="189"/>
        <v>0</v>
      </c>
      <c r="T47" s="77">
        <f t="shared" si="189"/>
        <v>0</v>
      </c>
      <c r="U47" s="78">
        <f t="shared" si="81"/>
        <v>0</v>
      </c>
      <c r="V47" s="79">
        <f t="shared" si="82"/>
        <v>0</v>
      </c>
      <c r="W47" s="79">
        <f t="shared" si="83"/>
        <v>0</v>
      </c>
      <c r="X47" s="80">
        <f t="shared" ref="X47:Y47" si="190">IF(O47&gt;0,O47/K47,0)</f>
        <v>1</v>
      </c>
      <c r="Y47" s="80">
        <f t="shared" si="190"/>
        <v>0</v>
      </c>
      <c r="Z47" s="80">
        <f t="shared" si="5"/>
        <v>0</v>
      </c>
      <c r="AA47" s="81"/>
      <c r="AB47" s="81"/>
      <c r="AC47" s="81"/>
      <c r="AD47" s="81"/>
      <c r="AE47" s="83"/>
      <c r="AF47" s="83"/>
      <c r="AG47" s="83"/>
      <c r="AH47" s="83"/>
      <c r="AI47" s="81"/>
      <c r="AJ47" s="81"/>
      <c r="AK47" s="81"/>
      <c r="AL47" s="81"/>
      <c r="AM47" s="82"/>
      <c r="AN47" s="81"/>
      <c r="AO47" s="81"/>
      <c r="AP47" s="81"/>
      <c r="AQ47" s="81"/>
      <c r="AR47" s="81"/>
      <c r="AS47" s="81"/>
      <c r="AT47" s="81"/>
      <c r="AU47" s="81"/>
      <c r="AV47" s="82">
        <v>7100</v>
      </c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2">
        <v>7100</v>
      </c>
      <c r="BL47" s="82">
        <v>0</v>
      </c>
      <c r="BM47" s="82">
        <v>0</v>
      </c>
      <c r="BN47" s="81">
        <f t="shared" si="85"/>
        <v>0</v>
      </c>
      <c r="BO47" s="75">
        <f t="shared" si="86"/>
        <v>0</v>
      </c>
      <c r="BP47" s="81">
        <f t="shared" si="87"/>
        <v>0</v>
      </c>
      <c r="BQ47" s="81">
        <f t="shared" si="88"/>
        <v>0</v>
      </c>
      <c r="BR47" s="81">
        <f t="shared" si="89"/>
        <v>0</v>
      </c>
      <c r="BS47" s="81">
        <f t="shared" si="90"/>
        <v>0</v>
      </c>
      <c r="BT47" s="81">
        <f t="shared" si="91"/>
        <v>0</v>
      </c>
      <c r="BU47" s="81">
        <f t="shared" si="92"/>
        <v>0</v>
      </c>
      <c r="BV47" s="81">
        <f t="shared" si="93"/>
        <v>0</v>
      </c>
      <c r="BW47" s="81">
        <f t="shared" si="94"/>
        <v>0</v>
      </c>
      <c r="BX47" s="1"/>
      <c r="BY47" s="1"/>
      <c r="BZ47" s="1"/>
      <c r="CA47" s="1"/>
      <c r="CB47" s="1"/>
      <c r="CC47" s="1"/>
      <c r="CD47" s="1"/>
      <c r="CE47" s="1"/>
      <c r="CF47" s="1"/>
      <c r="CG47" s="1"/>
    </row>
    <row r="48" spans="1:85" ht="15.75" customHeight="1">
      <c r="A48" s="125" t="s">
        <v>199</v>
      </c>
      <c r="B48" s="115"/>
      <c r="C48" s="129" t="s">
        <v>169</v>
      </c>
      <c r="D48" s="126" t="s">
        <v>198</v>
      </c>
      <c r="E48" s="70"/>
      <c r="F48" s="71"/>
      <c r="G48" s="71">
        <f t="shared" si="78"/>
        <v>0</v>
      </c>
      <c r="H48" s="70"/>
      <c r="I48" s="72">
        <f t="shared" si="45"/>
        <v>0</v>
      </c>
      <c r="J48" s="72">
        <f t="shared" si="46"/>
        <v>0</v>
      </c>
      <c r="K48" s="73">
        <v>4758</v>
      </c>
      <c r="L48" s="81"/>
      <c r="M48" s="81"/>
      <c r="N48" s="88"/>
      <c r="O48" s="77">
        <f t="shared" ref="O48:Q48" si="191">AA48+AD48+AG48+AJ48+AM48+AP48+AS48+AV48+AY48+BB48+BE48+BH48</f>
        <v>4758</v>
      </c>
      <c r="P48" s="77">
        <f t="shared" si="191"/>
        <v>0</v>
      </c>
      <c r="Q48" s="77">
        <f t="shared" si="191"/>
        <v>0</v>
      </c>
      <c r="R48" s="77">
        <f t="shared" ref="R48:T48" si="192">IF(BK48=0,SUM(AA48+AD48+AG48+AJ48+AM48+AP48+AS48+AV48+AY48+BB48+BE48+BH48),BK48)</f>
        <v>4758</v>
      </c>
      <c r="S48" s="77">
        <f t="shared" si="192"/>
        <v>0</v>
      </c>
      <c r="T48" s="77">
        <f t="shared" si="192"/>
        <v>0</v>
      </c>
      <c r="U48" s="78">
        <f t="shared" si="81"/>
        <v>0</v>
      </c>
      <c r="V48" s="79">
        <f t="shared" si="82"/>
        <v>0</v>
      </c>
      <c r="W48" s="79">
        <f t="shared" si="83"/>
        <v>0</v>
      </c>
      <c r="X48" s="80">
        <f t="shared" ref="X48:Y48" si="193">IF(O48&gt;0,O48/K48,0)</f>
        <v>1</v>
      </c>
      <c r="Y48" s="80">
        <f t="shared" si="193"/>
        <v>0</v>
      </c>
      <c r="Z48" s="80">
        <f t="shared" si="5"/>
        <v>0</v>
      </c>
      <c r="AA48" s="81"/>
      <c r="AB48" s="81"/>
      <c r="AC48" s="81"/>
      <c r="AD48" s="81"/>
      <c r="AE48" s="83"/>
      <c r="AF48" s="83"/>
      <c r="AG48" s="83"/>
      <c r="AH48" s="83"/>
      <c r="AI48" s="81"/>
      <c r="AJ48" s="81"/>
      <c r="AK48" s="81"/>
      <c r="AL48" s="81"/>
      <c r="AM48" s="82"/>
      <c r="AN48" s="81"/>
      <c r="AO48" s="81"/>
      <c r="AP48" s="81"/>
      <c r="AQ48" s="81"/>
      <c r="AR48" s="81"/>
      <c r="AS48" s="82">
        <v>4758</v>
      </c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2">
        <v>4758</v>
      </c>
      <c r="BL48" s="82">
        <v>0</v>
      </c>
      <c r="BM48" s="82">
        <v>0</v>
      </c>
      <c r="BN48" s="81">
        <f t="shared" si="85"/>
        <v>0</v>
      </c>
      <c r="BO48" s="75">
        <f t="shared" si="86"/>
        <v>0</v>
      </c>
      <c r="BP48" s="81">
        <f t="shared" si="87"/>
        <v>0</v>
      </c>
      <c r="BQ48" s="81">
        <f t="shared" si="88"/>
        <v>0</v>
      </c>
      <c r="BR48" s="81">
        <f t="shared" si="89"/>
        <v>0</v>
      </c>
      <c r="BS48" s="81">
        <f t="shared" si="90"/>
        <v>0</v>
      </c>
      <c r="BT48" s="81">
        <f t="shared" si="91"/>
        <v>0</v>
      </c>
      <c r="BU48" s="81">
        <f t="shared" si="92"/>
        <v>0</v>
      </c>
      <c r="BV48" s="81">
        <f t="shared" si="93"/>
        <v>0</v>
      </c>
      <c r="BW48" s="81">
        <f t="shared" si="94"/>
        <v>0</v>
      </c>
      <c r="BX48" s="1"/>
      <c r="BY48" s="1"/>
      <c r="BZ48" s="1"/>
      <c r="CA48" s="1"/>
      <c r="CB48" s="1"/>
      <c r="CC48" s="1"/>
      <c r="CD48" s="1"/>
      <c r="CE48" s="1"/>
      <c r="CF48" s="1"/>
      <c r="CG48" s="1"/>
    </row>
    <row r="49" spans="1:85" ht="15.75" customHeight="1">
      <c r="A49" s="125" t="s">
        <v>200</v>
      </c>
      <c r="B49" s="115"/>
      <c r="C49" s="129" t="s">
        <v>169</v>
      </c>
      <c r="D49" s="126" t="s">
        <v>201</v>
      </c>
      <c r="E49" s="70"/>
      <c r="F49" s="71"/>
      <c r="G49" s="71">
        <f t="shared" si="78"/>
        <v>0</v>
      </c>
      <c r="H49" s="70"/>
      <c r="I49" s="72">
        <f t="shared" si="45"/>
        <v>0</v>
      </c>
      <c r="J49" s="72">
        <f t="shared" si="46"/>
        <v>0</v>
      </c>
      <c r="K49" s="73">
        <v>1156</v>
      </c>
      <c r="L49" s="81"/>
      <c r="M49" s="81"/>
      <c r="N49" s="88"/>
      <c r="O49" s="77">
        <f t="shared" ref="O49:Q49" si="194">AA49+AD49+AG49+AJ49+AM49+AP49+AS49+AV49+AY49+BB49+BE49+BH49</f>
        <v>1156</v>
      </c>
      <c r="P49" s="77">
        <f t="shared" si="194"/>
        <v>0</v>
      </c>
      <c r="Q49" s="77">
        <f t="shared" si="194"/>
        <v>0</v>
      </c>
      <c r="R49" s="77">
        <f t="shared" ref="R49:T49" si="195">IF(BK49=0,SUM(AA49+AD49+AG49+AJ49+AM49+AP49+AS49+AV49+AY49+BB49+BE49+BH49),BK49)</f>
        <v>1156</v>
      </c>
      <c r="S49" s="77">
        <f t="shared" si="195"/>
        <v>0</v>
      </c>
      <c r="T49" s="77">
        <f t="shared" si="195"/>
        <v>0</v>
      </c>
      <c r="U49" s="78">
        <f t="shared" si="81"/>
        <v>0</v>
      </c>
      <c r="V49" s="79">
        <f t="shared" si="82"/>
        <v>0</v>
      </c>
      <c r="W49" s="79">
        <f t="shared" si="83"/>
        <v>0</v>
      </c>
      <c r="X49" s="80">
        <f t="shared" ref="X49:Y49" si="196">IF(O49&gt;0,O49/K49,0)</f>
        <v>1</v>
      </c>
      <c r="Y49" s="80">
        <f t="shared" si="196"/>
        <v>0</v>
      </c>
      <c r="Z49" s="80">
        <f t="shared" si="5"/>
        <v>0</v>
      </c>
      <c r="AA49" s="81"/>
      <c r="AB49" s="81"/>
      <c r="AC49" s="81"/>
      <c r="AD49" s="81"/>
      <c r="AE49" s="83"/>
      <c r="AF49" s="83"/>
      <c r="AG49" s="83"/>
      <c r="AH49" s="83"/>
      <c r="AI49" s="81"/>
      <c r="AJ49" s="81"/>
      <c r="AK49" s="81"/>
      <c r="AL49" s="81"/>
      <c r="AM49" s="82"/>
      <c r="AN49" s="81"/>
      <c r="AO49" s="81"/>
      <c r="AP49" s="81"/>
      <c r="AQ49" s="81"/>
      <c r="AR49" s="81"/>
      <c r="AS49" s="81"/>
      <c r="AT49" s="81"/>
      <c r="AU49" s="81"/>
      <c r="AV49" s="82">
        <v>1156</v>
      </c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  <c r="BH49" s="81"/>
      <c r="BI49" s="81"/>
      <c r="BJ49" s="81"/>
      <c r="BK49" s="82">
        <v>1156</v>
      </c>
      <c r="BL49" s="82">
        <v>0</v>
      </c>
      <c r="BM49" s="82">
        <v>0</v>
      </c>
      <c r="BN49" s="81">
        <f t="shared" si="85"/>
        <v>0</v>
      </c>
      <c r="BO49" s="75">
        <f t="shared" si="86"/>
        <v>0</v>
      </c>
      <c r="BP49" s="81">
        <f t="shared" si="87"/>
        <v>0</v>
      </c>
      <c r="BQ49" s="81">
        <f t="shared" si="88"/>
        <v>0</v>
      </c>
      <c r="BR49" s="81">
        <f t="shared" si="89"/>
        <v>0</v>
      </c>
      <c r="BS49" s="81">
        <f t="shared" si="90"/>
        <v>0</v>
      </c>
      <c r="BT49" s="81">
        <f t="shared" si="91"/>
        <v>0</v>
      </c>
      <c r="BU49" s="81">
        <f t="shared" si="92"/>
        <v>0</v>
      </c>
      <c r="BV49" s="81">
        <f t="shared" si="93"/>
        <v>0</v>
      </c>
      <c r="BW49" s="81">
        <f t="shared" si="94"/>
        <v>0</v>
      </c>
      <c r="BX49" s="1"/>
      <c r="BY49" s="1"/>
      <c r="BZ49" s="1"/>
      <c r="CA49" s="1"/>
      <c r="CB49" s="1"/>
      <c r="CC49" s="1"/>
      <c r="CD49" s="1"/>
      <c r="CE49" s="1"/>
      <c r="CF49" s="1"/>
      <c r="CG49" s="1"/>
    </row>
    <row r="50" spans="1:85" ht="15.75" customHeight="1">
      <c r="A50" s="125" t="s">
        <v>202</v>
      </c>
      <c r="B50" s="115"/>
      <c r="C50" s="129" t="s">
        <v>169</v>
      </c>
      <c r="D50" s="126" t="s">
        <v>201</v>
      </c>
      <c r="E50" s="70"/>
      <c r="F50" s="71"/>
      <c r="G50" s="71">
        <f t="shared" si="78"/>
        <v>0</v>
      </c>
      <c r="H50" s="70"/>
      <c r="I50" s="72">
        <f t="shared" si="45"/>
        <v>0</v>
      </c>
      <c r="J50" s="72">
        <f t="shared" si="46"/>
        <v>0</v>
      </c>
      <c r="K50" s="73">
        <v>2220</v>
      </c>
      <c r="L50" s="81"/>
      <c r="M50" s="81"/>
      <c r="N50" s="88"/>
      <c r="O50" s="77">
        <f t="shared" ref="O50:Q50" si="197">AA50+AD50+AG50+AJ50+AM50+AP50+AS50+AV50+AY50+BB50+BE50+BH50</f>
        <v>2220</v>
      </c>
      <c r="P50" s="77">
        <f t="shared" si="197"/>
        <v>0</v>
      </c>
      <c r="Q50" s="77">
        <f t="shared" si="197"/>
        <v>0</v>
      </c>
      <c r="R50" s="77">
        <f t="shared" ref="R50:T50" si="198">IF(BK50=0,SUM(AA50+AD50+AG50+AJ50+AM50+AP50+AS50+AV50+AY50+BB50+BE50+BH50),BK50)</f>
        <v>2220</v>
      </c>
      <c r="S50" s="77">
        <f t="shared" si="198"/>
        <v>0</v>
      </c>
      <c r="T50" s="77">
        <f t="shared" si="198"/>
        <v>0</v>
      </c>
      <c r="U50" s="78">
        <f t="shared" si="81"/>
        <v>0</v>
      </c>
      <c r="V50" s="79">
        <f t="shared" si="82"/>
        <v>0</v>
      </c>
      <c r="W50" s="79">
        <f t="shared" si="83"/>
        <v>0</v>
      </c>
      <c r="X50" s="80">
        <f t="shared" ref="X50:Y50" si="199">IF(O50&gt;0,O50/K50,0)</f>
        <v>1</v>
      </c>
      <c r="Y50" s="80">
        <f t="shared" si="199"/>
        <v>0</v>
      </c>
      <c r="Z50" s="80">
        <f t="shared" si="5"/>
        <v>0</v>
      </c>
      <c r="AA50" s="81"/>
      <c r="AB50" s="81"/>
      <c r="AC50" s="81"/>
      <c r="AD50" s="81"/>
      <c r="AE50" s="83"/>
      <c r="AF50" s="83"/>
      <c r="AG50" s="83"/>
      <c r="AH50" s="83"/>
      <c r="AI50" s="81"/>
      <c r="AJ50" s="81"/>
      <c r="AK50" s="81"/>
      <c r="AL50" s="81"/>
      <c r="AM50" s="82"/>
      <c r="AN50" s="81"/>
      <c r="AO50" s="81"/>
      <c r="AP50" s="81"/>
      <c r="AQ50" s="81"/>
      <c r="AR50" s="81"/>
      <c r="AS50" s="81"/>
      <c r="AT50" s="81"/>
      <c r="AU50" s="81"/>
      <c r="AV50" s="82">
        <v>2220</v>
      </c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2">
        <v>2220</v>
      </c>
      <c r="BL50" s="82">
        <v>0</v>
      </c>
      <c r="BM50" s="82">
        <v>0</v>
      </c>
      <c r="BN50" s="81">
        <f t="shared" si="85"/>
        <v>0</v>
      </c>
      <c r="BO50" s="75">
        <f t="shared" si="86"/>
        <v>0</v>
      </c>
      <c r="BP50" s="81">
        <f t="shared" si="87"/>
        <v>0</v>
      </c>
      <c r="BQ50" s="81">
        <f t="shared" si="88"/>
        <v>0</v>
      </c>
      <c r="BR50" s="81">
        <f t="shared" si="89"/>
        <v>0</v>
      </c>
      <c r="BS50" s="81">
        <f t="shared" si="90"/>
        <v>0</v>
      </c>
      <c r="BT50" s="81">
        <f t="shared" si="91"/>
        <v>0</v>
      </c>
      <c r="BU50" s="81">
        <f t="shared" si="92"/>
        <v>0</v>
      </c>
      <c r="BV50" s="81">
        <f t="shared" si="93"/>
        <v>0</v>
      </c>
      <c r="BW50" s="81">
        <f t="shared" si="94"/>
        <v>0</v>
      </c>
      <c r="BX50" s="1"/>
      <c r="BY50" s="1"/>
      <c r="BZ50" s="1"/>
      <c r="CA50" s="1"/>
      <c r="CB50" s="1"/>
      <c r="CC50" s="1"/>
      <c r="CD50" s="1"/>
      <c r="CE50" s="1"/>
      <c r="CF50" s="1"/>
      <c r="CG50" s="1"/>
    </row>
    <row r="51" spans="1:85" ht="15.75" customHeight="1">
      <c r="A51" s="125" t="s">
        <v>203</v>
      </c>
      <c r="B51" s="115"/>
      <c r="C51" s="129" t="s">
        <v>169</v>
      </c>
      <c r="D51" s="126" t="s">
        <v>201</v>
      </c>
      <c r="E51" s="70"/>
      <c r="F51" s="71"/>
      <c r="G51" s="71">
        <f t="shared" si="78"/>
        <v>0</v>
      </c>
      <c r="H51" s="70"/>
      <c r="I51" s="72">
        <f t="shared" si="45"/>
        <v>0</v>
      </c>
      <c r="J51" s="72">
        <f t="shared" si="46"/>
        <v>0</v>
      </c>
      <c r="K51" s="73">
        <v>11665.6</v>
      </c>
      <c r="L51" s="81"/>
      <c r="M51" s="81"/>
      <c r="N51" s="88"/>
      <c r="O51" s="77">
        <f t="shared" ref="O51:Q51" si="200">AA51+AD51+AG51+AJ51+AM51+AP51+AS51+AV51+AY51+BB51+BE51+BH51</f>
        <v>11665.6</v>
      </c>
      <c r="P51" s="77">
        <f t="shared" si="200"/>
        <v>0</v>
      </c>
      <c r="Q51" s="77">
        <f t="shared" si="200"/>
        <v>0</v>
      </c>
      <c r="R51" s="77">
        <f t="shared" ref="R51:T51" si="201">IF(BK51=0,SUM(AA51+AD51+AG51+AJ51+AM51+AP51+AS51+AV51+AY51+BB51+BE51+BH51),BK51)</f>
        <v>11665.6</v>
      </c>
      <c r="S51" s="77">
        <f t="shared" si="201"/>
        <v>0</v>
      </c>
      <c r="T51" s="77">
        <f t="shared" si="201"/>
        <v>0</v>
      </c>
      <c r="U51" s="78">
        <f t="shared" si="81"/>
        <v>0</v>
      </c>
      <c r="V51" s="79">
        <f t="shared" si="82"/>
        <v>0</v>
      </c>
      <c r="W51" s="79">
        <f t="shared" si="83"/>
        <v>0</v>
      </c>
      <c r="X51" s="80">
        <f t="shared" ref="X51:Y51" si="202">IF(O51&gt;0,O51/K51,0)</f>
        <v>1</v>
      </c>
      <c r="Y51" s="80">
        <f t="shared" si="202"/>
        <v>0</v>
      </c>
      <c r="Z51" s="80">
        <f t="shared" si="5"/>
        <v>0</v>
      </c>
      <c r="AA51" s="81"/>
      <c r="AB51" s="81"/>
      <c r="AC51" s="81"/>
      <c r="AD51" s="81"/>
      <c r="AE51" s="83"/>
      <c r="AF51" s="83"/>
      <c r="AG51" s="83"/>
      <c r="AH51" s="83"/>
      <c r="AI51" s="81"/>
      <c r="AJ51" s="81"/>
      <c r="AK51" s="81"/>
      <c r="AL51" s="81"/>
      <c r="AM51" s="82"/>
      <c r="AN51" s="81"/>
      <c r="AO51" s="81"/>
      <c r="AP51" s="81"/>
      <c r="AQ51" s="81"/>
      <c r="AR51" s="81"/>
      <c r="AS51" s="82">
        <v>5832.8</v>
      </c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>
        <f>5832.8</f>
        <v>5832.8</v>
      </c>
      <c r="BI51" s="81"/>
      <c r="BJ51" s="81"/>
      <c r="BK51" s="82">
        <v>11665.6</v>
      </c>
      <c r="BL51" s="82">
        <v>0</v>
      </c>
      <c r="BM51" s="82">
        <v>0</v>
      </c>
      <c r="BN51" s="81">
        <f t="shared" si="85"/>
        <v>0</v>
      </c>
      <c r="BO51" s="75">
        <f t="shared" si="86"/>
        <v>0</v>
      </c>
      <c r="BP51" s="81">
        <f t="shared" si="87"/>
        <v>0</v>
      </c>
      <c r="BQ51" s="81">
        <f t="shared" si="88"/>
        <v>0</v>
      </c>
      <c r="BR51" s="81">
        <f t="shared" si="89"/>
        <v>0</v>
      </c>
      <c r="BS51" s="81">
        <f t="shared" si="90"/>
        <v>0</v>
      </c>
      <c r="BT51" s="81">
        <f t="shared" si="91"/>
        <v>0</v>
      </c>
      <c r="BU51" s="81">
        <f t="shared" si="92"/>
        <v>0</v>
      </c>
      <c r="BV51" s="81">
        <f t="shared" si="93"/>
        <v>0</v>
      </c>
      <c r="BW51" s="81">
        <f t="shared" si="94"/>
        <v>0</v>
      </c>
      <c r="BX51" s="1"/>
      <c r="BY51" s="1"/>
      <c r="BZ51" s="1"/>
      <c r="CA51" s="1"/>
      <c r="CB51" s="1"/>
      <c r="CC51" s="1"/>
      <c r="CD51" s="1"/>
      <c r="CE51" s="1"/>
      <c r="CF51" s="1"/>
      <c r="CG51" s="1"/>
    </row>
    <row r="52" spans="1:85" ht="15.75" customHeight="1">
      <c r="A52" s="125" t="s">
        <v>204</v>
      </c>
      <c r="B52" s="115"/>
      <c r="C52" s="129" t="s">
        <v>169</v>
      </c>
      <c r="D52" s="126" t="s">
        <v>201</v>
      </c>
      <c r="E52" s="70"/>
      <c r="F52" s="71"/>
      <c r="G52" s="71">
        <f t="shared" si="78"/>
        <v>0</v>
      </c>
      <c r="H52" s="70"/>
      <c r="I52" s="72">
        <f t="shared" si="45"/>
        <v>0</v>
      </c>
      <c r="J52" s="72">
        <f t="shared" si="46"/>
        <v>0</v>
      </c>
      <c r="K52" s="73">
        <v>2205</v>
      </c>
      <c r="L52" s="81"/>
      <c r="M52" s="81"/>
      <c r="N52" s="88"/>
      <c r="O52" s="77">
        <f t="shared" ref="O52:Q52" si="203">AA52+AD52+AG52+AJ52+AM52+AP52+AS52+AV52+AY52+BB52+BE52+BH52</f>
        <v>2205</v>
      </c>
      <c r="P52" s="77">
        <f t="shared" si="203"/>
        <v>0</v>
      </c>
      <c r="Q52" s="77">
        <f t="shared" si="203"/>
        <v>0</v>
      </c>
      <c r="R52" s="77">
        <f t="shared" ref="R52:T52" si="204">IF(BK52=0,SUM(AA52+AD52+AG52+AJ52+AM52+AP52+AS52+AV52+AY52+BB52+BE52+BH52),BK52)</f>
        <v>2205</v>
      </c>
      <c r="S52" s="77">
        <f t="shared" si="204"/>
        <v>0</v>
      </c>
      <c r="T52" s="77">
        <f t="shared" si="204"/>
        <v>0</v>
      </c>
      <c r="U52" s="78">
        <f t="shared" si="81"/>
        <v>0</v>
      </c>
      <c r="V52" s="79">
        <f t="shared" si="82"/>
        <v>0</v>
      </c>
      <c r="W52" s="79">
        <f t="shared" si="83"/>
        <v>0</v>
      </c>
      <c r="X52" s="80">
        <f t="shared" ref="X52:Y52" si="205">IF(O52&gt;0,O52/K52,0)</f>
        <v>1</v>
      </c>
      <c r="Y52" s="80">
        <f t="shared" si="205"/>
        <v>0</v>
      </c>
      <c r="Z52" s="80">
        <f t="shared" si="5"/>
        <v>0</v>
      </c>
      <c r="AA52" s="81"/>
      <c r="AB52" s="81"/>
      <c r="AC52" s="81"/>
      <c r="AD52" s="81"/>
      <c r="AE52" s="83"/>
      <c r="AF52" s="83"/>
      <c r="AG52" s="83"/>
      <c r="AH52" s="83"/>
      <c r="AI52" s="81"/>
      <c r="AJ52" s="81"/>
      <c r="AK52" s="81"/>
      <c r="AL52" s="81"/>
      <c r="AM52" s="82"/>
      <c r="AN52" s="81"/>
      <c r="AO52" s="81"/>
      <c r="AP52" s="81"/>
      <c r="AQ52" s="81"/>
      <c r="AR52" s="81"/>
      <c r="AS52" s="81"/>
      <c r="AT52" s="81"/>
      <c r="AU52" s="81"/>
      <c r="AV52" s="82">
        <v>2205</v>
      </c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2">
        <v>2205</v>
      </c>
      <c r="BL52" s="82">
        <v>0</v>
      </c>
      <c r="BM52" s="82">
        <v>0</v>
      </c>
      <c r="BN52" s="81">
        <f t="shared" si="85"/>
        <v>0</v>
      </c>
      <c r="BO52" s="75">
        <f t="shared" si="86"/>
        <v>0</v>
      </c>
      <c r="BP52" s="81">
        <f t="shared" si="87"/>
        <v>0</v>
      </c>
      <c r="BQ52" s="81">
        <f t="shared" si="88"/>
        <v>0</v>
      </c>
      <c r="BR52" s="81">
        <f t="shared" si="89"/>
        <v>0</v>
      </c>
      <c r="BS52" s="81">
        <f t="shared" si="90"/>
        <v>0</v>
      </c>
      <c r="BT52" s="81">
        <f t="shared" si="91"/>
        <v>0</v>
      </c>
      <c r="BU52" s="81">
        <f t="shared" si="92"/>
        <v>0</v>
      </c>
      <c r="BV52" s="81">
        <f t="shared" si="93"/>
        <v>0</v>
      </c>
      <c r="BW52" s="81">
        <f t="shared" si="94"/>
        <v>0</v>
      </c>
      <c r="BX52" s="1"/>
      <c r="BY52" s="1"/>
      <c r="BZ52" s="1"/>
      <c r="CA52" s="1"/>
      <c r="CB52" s="1"/>
      <c r="CC52" s="1"/>
      <c r="CD52" s="1"/>
      <c r="CE52" s="1"/>
      <c r="CF52" s="1"/>
      <c r="CG52" s="1"/>
    </row>
    <row r="53" spans="1:85" ht="15.75" customHeight="1">
      <c r="A53" s="125" t="s">
        <v>205</v>
      </c>
      <c r="B53" s="115"/>
      <c r="C53" s="129" t="s">
        <v>169</v>
      </c>
      <c r="D53" s="126" t="s">
        <v>201</v>
      </c>
      <c r="E53" s="70"/>
      <c r="F53" s="71"/>
      <c r="G53" s="71">
        <f t="shared" si="78"/>
        <v>0</v>
      </c>
      <c r="H53" s="70"/>
      <c r="I53" s="72">
        <f t="shared" si="45"/>
        <v>0</v>
      </c>
      <c r="J53" s="72">
        <f t="shared" si="46"/>
        <v>0</v>
      </c>
      <c r="K53" s="73">
        <v>2205</v>
      </c>
      <c r="L53" s="81"/>
      <c r="M53" s="81"/>
      <c r="N53" s="88"/>
      <c r="O53" s="77">
        <f t="shared" ref="O53:Q53" si="206">AA53+AD53+AG53+AJ53+AM53+AP53+AS53+AV53+AY53+BB53+BE53+BH53</f>
        <v>2205</v>
      </c>
      <c r="P53" s="77">
        <f t="shared" si="206"/>
        <v>0</v>
      </c>
      <c r="Q53" s="77">
        <f t="shared" si="206"/>
        <v>0</v>
      </c>
      <c r="R53" s="77">
        <f t="shared" ref="R53:T53" si="207">IF(BK53=0,SUM(AA53+AD53+AG53+AJ53+AM53+AP53+AS53+AV53+AY53+BB53+BE53+BH53),BK53)</f>
        <v>2205</v>
      </c>
      <c r="S53" s="77">
        <f t="shared" si="207"/>
        <v>0</v>
      </c>
      <c r="T53" s="77">
        <f t="shared" si="207"/>
        <v>0</v>
      </c>
      <c r="U53" s="78">
        <f t="shared" si="81"/>
        <v>0</v>
      </c>
      <c r="V53" s="79">
        <f t="shared" si="82"/>
        <v>0</v>
      </c>
      <c r="W53" s="79">
        <f t="shared" si="83"/>
        <v>0</v>
      </c>
      <c r="X53" s="80">
        <f t="shared" ref="X53:Y53" si="208">IF(O53&gt;0,O53/K53,0)</f>
        <v>1</v>
      </c>
      <c r="Y53" s="80">
        <f t="shared" si="208"/>
        <v>0</v>
      </c>
      <c r="Z53" s="80">
        <f t="shared" si="5"/>
        <v>0</v>
      </c>
      <c r="AA53" s="81"/>
      <c r="AB53" s="81"/>
      <c r="AC53" s="81"/>
      <c r="AD53" s="81"/>
      <c r="AE53" s="83"/>
      <c r="AF53" s="83"/>
      <c r="AG53" s="83"/>
      <c r="AH53" s="83"/>
      <c r="AI53" s="81"/>
      <c r="AJ53" s="81"/>
      <c r="AK53" s="81"/>
      <c r="AL53" s="81"/>
      <c r="AM53" s="82"/>
      <c r="AN53" s="81"/>
      <c r="AO53" s="81"/>
      <c r="AP53" s="81"/>
      <c r="AQ53" s="81"/>
      <c r="AR53" s="81"/>
      <c r="AS53" s="81"/>
      <c r="AT53" s="81"/>
      <c r="AU53" s="81"/>
      <c r="AV53" s="82">
        <v>2205</v>
      </c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2">
        <v>2205</v>
      </c>
      <c r="BL53" s="82">
        <v>0</v>
      </c>
      <c r="BM53" s="82">
        <v>0</v>
      </c>
      <c r="BN53" s="81">
        <f t="shared" si="85"/>
        <v>0</v>
      </c>
      <c r="BO53" s="75">
        <f t="shared" si="86"/>
        <v>0</v>
      </c>
      <c r="BP53" s="81">
        <f t="shared" si="87"/>
        <v>0</v>
      </c>
      <c r="BQ53" s="81">
        <f t="shared" si="88"/>
        <v>0</v>
      </c>
      <c r="BR53" s="81">
        <f t="shared" si="89"/>
        <v>0</v>
      </c>
      <c r="BS53" s="81">
        <f t="shared" si="90"/>
        <v>0</v>
      </c>
      <c r="BT53" s="81">
        <f t="shared" si="91"/>
        <v>0</v>
      </c>
      <c r="BU53" s="81">
        <f t="shared" si="92"/>
        <v>0</v>
      </c>
      <c r="BV53" s="81">
        <f t="shared" si="93"/>
        <v>0</v>
      </c>
      <c r="BW53" s="81">
        <f t="shared" si="94"/>
        <v>0</v>
      </c>
      <c r="BX53" s="1"/>
      <c r="BY53" s="1"/>
      <c r="BZ53" s="1"/>
      <c r="CA53" s="1"/>
      <c r="CB53" s="1"/>
      <c r="CC53" s="1"/>
      <c r="CD53" s="1"/>
      <c r="CE53" s="1"/>
      <c r="CF53" s="1"/>
      <c r="CG53" s="1"/>
    </row>
    <row r="54" spans="1:85" ht="15.75" customHeight="1">
      <c r="A54" s="125" t="s">
        <v>206</v>
      </c>
      <c r="B54" s="115"/>
      <c r="C54" s="129" t="s">
        <v>169</v>
      </c>
      <c r="D54" s="126" t="s">
        <v>207</v>
      </c>
      <c r="E54" s="70"/>
      <c r="F54" s="71"/>
      <c r="G54" s="71">
        <f t="shared" si="78"/>
        <v>0</v>
      </c>
      <c r="H54" s="70"/>
      <c r="I54" s="72">
        <f t="shared" si="45"/>
        <v>0</v>
      </c>
      <c r="J54" s="72">
        <f t="shared" si="46"/>
        <v>0</v>
      </c>
      <c r="K54" s="73">
        <v>20000</v>
      </c>
      <c r="L54" s="81"/>
      <c r="M54" s="81"/>
      <c r="N54" s="88"/>
      <c r="O54" s="77">
        <f t="shared" ref="O54:Q54" si="209">AA54+AD54+AG54+AJ54+AM54+AP54+AS54+AV54+AY54+BB54+BE54+BH54</f>
        <v>20000</v>
      </c>
      <c r="P54" s="77">
        <f t="shared" si="209"/>
        <v>0</v>
      </c>
      <c r="Q54" s="77">
        <f t="shared" si="209"/>
        <v>0</v>
      </c>
      <c r="R54" s="77">
        <f t="shared" ref="R54:T54" si="210">IF(BK54=0,SUM(AA54+AD54+AG54+AJ54+AM54+AP54+AS54+AV54+AY54+BB54+BE54+BH54),BK54)</f>
        <v>20000</v>
      </c>
      <c r="S54" s="77">
        <f t="shared" si="210"/>
        <v>0</v>
      </c>
      <c r="T54" s="77">
        <f t="shared" si="210"/>
        <v>0</v>
      </c>
      <c r="U54" s="78">
        <f t="shared" si="81"/>
        <v>0</v>
      </c>
      <c r="V54" s="79">
        <f t="shared" si="82"/>
        <v>0</v>
      </c>
      <c r="W54" s="79">
        <f t="shared" si="83"/>
        <v>0</v>
      </c>
      <c r="X54" s="80">
        <f t="shared" ref="X54:Y54" si="211">IF(O54&gt;0,O54/K54,0)</f>
        <v>1</v>
      </c>
      <c r="Y54" s="80">
        <f t="shared" si="211"/>
        <v>0</v>
      </c>
      <c r="Z54" s="80">
        <f t="shared" si="5"/>
        <v>0</v>
      </c>
      <c r="AA54" s="81"/>
      <c r="AB54" s="81"/>
      <c r="AC54" s="81"/>
      <c r="AD54" s="81"/>
      <c r="AE54" s="83"/>
      <c r="AF54" s="83"/>
      <c r="AG54" s="83"/>
      <c r="AH54" s="83"/>
      <c r="AI54" s="81"/>
      <c r="AJ54" s="81"/>
      <c r="AK54" s="81"/>
      <c r="AL54" s="81"/>
      <c r="AM54" s="82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>
        <f>4662.11+1590.72</f>
        <v>6252.83</v>
      </c>
      <c r="BC54" s="81"/>
      <c r="BD54" s="81"/>
      <c r="BE54" s="81">
        <f>2416.57+11330.6</f>
        <v>13747.17</v>
      </c>
      <c r="BF54" s="81"/>
      <c r="BG54" s="81"/>
      <c r="BH54" s="81"/>
      <c r="BI54" s="81"/>
      <c r="BJ54" s="81"/>
      <c r="BK54" s="82">
        <v>20000</v>
      </c>
      <c r="BL54" s="82">
        <v>0</v>
      </c>
      <c r="BM54" s="82">
        <v>0</v>
      </c>
      <c r="BN54" s="81">
        <f t="shared" si="85"/>
        <v>0</v>
      </c>
      <c r="BO54" s="75">
        <f t="shared" si="86"/>
        <v>0</v>
      </c>
      <c r="BP54" s="81">
        <f t="shared" si="87"/>
        <v>0</v>
      </c>
      <c r="BQ54" s="81">
        <f t="shared" si="88"/>
        <v>0</v>
      </c>
      <c r="BR54" s="81">
        <f t="shared" si="89"/>
        <v>0</v>
      </c>
      <c r="BS54" s="81">
        <f t="shared" si="90"/>
        <v>0</v>
      </c>
      <c r="BT54" s="81">
        <f t="shared" si="91"/>
        <v>0</v>
      </c>
      <c r="BU54" s="81">
        <f t="shared" si="92"/>
        <v>0</v>
      </c>
      <c r="BV54" s="81">
        <f t="shared" si="93"/>
        <v>0</v>
      </c>
      <c r="BW54" s="81">
        <f t="shared" si="94"/>
        <v>0</v>
      </c>
      <c r="BX54" s="1"/>
      <c r="BY54" s="1"/>
      <c r="BZ54" s="1"/>
      <c r="CA54" s="1"/>
      <c r="CB54" s="1"/>
      <c r="CC54" s="1"/>
      <c r="CD54" s="1"/>
      <c r="CE54" s="1"/>
      <c r="CF54" s="1"/>
      <c r="CG54" s="1"/>
    </row>
    <row r="55" spans="1:85" ht="15.75" customHeight="1">
      <c r="A55" s="125" t="s">
        <v>208</v>
      </c>
      <c r="B55" s="115"/>
      <c r="C55" s="129" t="s">
        <v>209</v>
      </c>
      <c r="D55" s="126" t="s">
        <v>196</v>
      </c>
      <c r="E55" s="70"/>
      <c r="F55" s="71"/>
      <c r="G55" s="71">
        <f t="shared" si="78"/>
        <v>0</v>
      </c>
      <c r="H55" s="70"/>
      <c r="I55" s="72">
        <f t="shared" si="45"/>
        <v>0</v>
      </c>
      <c r="J55" s="72">
        <f t="shared" si="46"/>
        <v>0</v>
      </c>
      <c r="K55" s="73">
        <v>17110</v>
      </c>
      <c r="L55" s="81"/>
      <c r="M55" s="81"/>
      <c r="N55" s="88"/>
      <c r="O55" s="77">
        <f t="shared" ref="O55:Q55" si="212">AA55+AD55+AG55+AJ55+AM55+AP55+AS55+AV55+AY55+BB55+BE55+BH55</f>
        <v>17110</v>
      </c>
      <c r="P55" s="77">
        <f t="shared" si="212"/>
        <v>0</v>
      </c>
      <c r="Q55" s="77">
        <f t="shared" si="212"/>
        <v>0</v>
      </c>
      <c r="R55" s="77">
        <f t="shared" ref="R55:T55" si="213">IF(BK55=0,SUM(AA55+AD55+AG55+AJ55+AM55+AP55+AS55+AV55+AY55+BB55+BE55+BH55),BK55)</f>
        <v>17110</v>
      </c>
      <c r="S55" s="77">
        <f t="shared" si="213"/>
        <v>0</v>
      </c>
      <c r="T55" s="77">
        <f t="shared" si="213"/>
        <v>0</v>
      </c>
      <c r="U55" s="79">
        <f t="shared" si="81"/>
        <v>0</v>
      </c>
      <c r="V55" s="79">
        <f t="shared" si="82"/>
        <v>0</v>
      </c>
      <c r="W55" s="79">
        <f t="shared" si="83"/>
        <v>0</v>
      </c>
      <c r="X55" s="80">
        <f t="shared" ref="X55:Y55" si="214">IF(O55&gt;0,O55/K55,0)</f>
        <v>1</v>
      </c>
      <c r="Y55" s="80">
        <f t="shared" si="214"/>
        <v>0</v>
      </c>
      <c r="Z55" s="80">
        <f t="shared" si="5"/>
        <v>0</v>
      </c>
      <c r="AA55" s="81"/>
      <c r="AB55" s="81"/>
      <c r="AC55" s="81"/>
      <c r="AD55" s="81"/>
      <c r="AE55" s="83"/>
      <c r="AF55" s="83"/>
      <c r="AG55" s="83"/>
      <c r="AH55" s="83"/>
      <c r="AI55" s="81"/>
      <c r="AJ55" s="81"/>
      <c r="AK55" s="81"/>
      <c r="AL55" s="81"/>
      <c r="AM55" s="82">
        <v>17110</v>
      </c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2">
        <v>17110</v>
      </c>
      <c r="BL55" s="82">
        <v>0</v>
      </c>
      <c r="BM55" s="82">
        <v>0</v>
      </c>
      <c r="BN55" s="81">
        <f t="shared" si="85"/>
        <v>0</v>
      </c>
      <c r="BO55" s="75">
        <f t="shared" si="86"/>
        <v>0</v>
      </c>
      <c r="BP55" s="81">
        <f t="shared" si="87"/>
        <v>0</v>
      </c>
      <c r="BQ55" s="81">
        <f t="shared" si="88"/>
        <v>0</v>
      </c>
      <c r="BR55" s="81">
        <f t="shared" si="89"/>
        <v>0</v>
      </c>
      <c r="BS55" s="81">
        <f t="shared" si="90"/>
        <v>0</v>
      </c>
      <c r="BT55" s="81">
        <f t="shared" si="91"/>
        <v>0</v>
      </c>
      <c r="BU55" s="81">
        <f t="shared" si="92"/>
        <v>0</v>
      </c>
      <c r="BV55" s="81">
        <f t="shared" si="93"/>
        <v>0</v>
      </c>
      <c r="BW55" s="81">
        <f t="shared" si="94"/>
        <v>0</v>
      </c>
      <c r="BX55" s="1"/>
      <c r="BY55" s="1"/>
      <c r="BZ55" s="1"/>
      <c r="CA55" s="1"/>
      <c r="CB55" s="1"/>
      <c r="CC55" s="1"/>
      <c r="CD55" s="1"/>
      <c r="CE55" s="1"/>
      <c r="CF55" s="1"/>
      <c r="CG55" s="1"/>
    </row>
    <row r="56" spans="1:85" ht="15.75" customHeight="1">
      <c r="A56" s="125"/>
      <c r="B56" s="115"/>
      <c r="C56" s="86" t="s">
        <v>210</v>
      </c>
      <c r="D56" s="87" t="s">
        <v>211</v>
      </c>
      <c r="E56" s="70">
        <v>5000</v>
      </c>
      <c r="F56" s="71"/>
      <c r="G56" s="71">
        <f t="shared" si="78"/>
        <v>5000</v>
      </c>
      <c r="H56" s="70"/>
      <c r="I56" s="72">
        <f t="shared" si="45"/>
        <v>0</v>
      </c>
      <c r="J56" s="72">
        <f t="shared" si="46"/>
        <v>0</v>
      </c>
      <c r="K56" s="88"/>
      <c r="L56" s="81"/>
      <c r="M56" s="81"/>
      <c r="N56" s="88"/>
      <c r="O56" s="77">
        <f t="shared" ref="O56:Q56" si="215">AA56+AD56+AG56+AJ56+AM56+AP56+AS56+AV56+AY56+BB56+BE56+BH56</f>
        <v>0</v>
      </c>
      <c r="P56" s="77">
        <f t="shared" si="215"/>
        <v>0</v>
      </c>
      <c r="Q56" s="77">
        <f t="shared" si="215"/>
        <v>0</v>
      </c>
      <c r="R56" s="77">
        <f t="shared" ref="R56:T56" si="216">IF(BK56=0,SUM(AA56+AD56+AG56+AJ56+AM56+AP56+AS56+AV56+AY56+BB56+BE56+BH56),BK56)</f>
        <v>0</v>
      </c>
      <c r="S56" s="77">
        <f t="shared" si="216"/>
        <v>0</v>
      </c>
      <c r="T56" s="77">
        <f t="shared" si="216"/>
        <v>0</v>
      </c>
      <c r="U56" s="79">
        <f t="shared" si="81"/>
        <v>0</v>
      </c>
      <c r="V56" s="79">
        <f t="shared" si="82"/>
        <v>0</v>
      </c>
      <c r="W56" s="79">
        <f t="shared" si="83"/>
        <v>0</v>
      </c>
      <c r="X56" s="80">
        <f t="shared" ref="X56:Y56" si="217">IF(O56&gt;0,O56/K56,0)</f>
        <v>0</v>
      </c>
      <c r="Y56" s="80">
        <f t="shared" si="217"/>
        <v>0</v>
      </c>
      <c r="Z56" s="80">
        <f t="shared" si="5"/>
        <v>0</v>
      </c>
      <c r="AA56" s="81"/>
      <c r="AB56" s="81"/>
      <c r="AC56" s="81"/>
      <c r="AD56" s="81"/>
      <c r="AE56" s="83"/>
      <c r="AF56" s="83"/>
      <c r="AG56" s="83"/>
      <c r="AH56" s="83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2">
        <v>0</v>
      </c>
      <c r="BL56" s="82">
        <v>0</v>
      </c>
      <c r="BM56" s="82">
        <v>0</v>
      </c>
      <c r="BN56" s="81">
        <f t="shared" si="85"/>
        <v>0</v>
      </c>
      <c r="BO56" s="75">
        <f t="shared" si="86"/>
        <v>0</v>
      </c>
      <c r="BP56" s="81">
        <f t="shared" si="87"/>
        <v>0</v>
      </c>
      <c r="BQ56" s="81">
        <f t="shared" si="88"/>
        <v>0</v>
      </c>
      <c r="BR56" s="81">
        <f t="shared" si="89"/>
        <v>0</v>
      </c>
      <c r="BS56" s="81">
        <f t="shared" si="90"/>
        <v>0</v>
      </c>
      <c r="BT56" s="81">
        <f t="shared" si="91"/>
        <v>0</v>
      </c>
      <c r="BU56" s="81">
        <f t="shared" si="92"/>
        <v>0</v>
      </c>
      <c r="BV56" s="81">
        <f t="shared" si="93"/>
        <v>0</v>
      </c>
      <c r="BW56" s="81">
        <f t="shared" si="94"/>
        <v>0</v>
      </c>
      <c r="BX56" s="1"/>
      <c r="BY56" s="1"/>
      <c r="BZ56" s="1"/>
      <c r="CA56" s="1"/>
      <c r="CB56" s="1"/>
      <c r="CC56" s="1"/>
      <c r="CD56" s="1"/>
      <c r="CE56" s="1"/>
      <c r="CF56" s="1"/>
      <c r="CG56" s="1"/>
    </row>
    <row r="57" spans="1:85" ht="15.75" customHeight="1">
      <c r="A57" s="125" t="s">
        <v>212</v>
      </c>
      <c r="B57" s="115"/>
      <c r="C57" s="86" t="s">
        <v>209</v>
      </c>
      <c r="D57" s="126" t="s">
        <v>213</v>
      </c>
      <c r="E57" s="70">
        <v>60000</v>
      </c>
      <c r="F57" s="71">
        <v>0</v>
      </c>
      <c r="G57" s="71">
        <f t="shared" si="78"/>
        <v>60000</v>
      </c>
      <c r="H57" s="70"/>
      <c r="I57" s="72">
        <f t="shared" si="45"/>
        <v>0.41663850000000002</v>
      </c>
      <c r="J57" s="72">
        <f t="shared" si="46"/>
        <v>0.41663849999999997</v>
      </c>
      <c r="K57" s="73">
        <f>25000-1.69</f>
        <v>24998.31</v>
      </c>
      <c r="L57" s="81"/>
      <c r="M57" s="81"/>
      <c r="N57" s="88"/>
      <c r="O57" s="77">
        <f t="shared" ref="O57:Q57" si="218">AA57+AD57+AG57+AJ57+AM57+AP57+AS57+AV57+AY57+BB57+BE57+BH57</f>
        <v>24998.309999999998</v>
      </c>
      <c r="P57" s="77">
        <f t="shared" si="218"/>
        <v>0</v>
      </c>
      <c r="Q57" s="77">
        <f t="shared" si="218"/>
        <v>0</v>
      </c>
      <c r="R57" s="77">
        <f t="shared" ref="R57:T57" si="219">IF(BK57=0,SUM(AA57+AD57+AG57+AJ57+AM57+AP57+AS57+AV57+AY57+BB57+BE57+BH57),BK57)</f>
        <v>24998.31</v>
      </c>
      <c r="S57" s="77">
        <f t="shared" si="219"/>
        <v>0</v>
      </c>
      <c r="T57" s="77">
        <f t="shared" si="219"/>
        <v>0</v>
      </c>
      <c r="U57" s="78">
        <f t="shared" si="81"/>
        <v>0</v>
      </c>
      <c r="V57" s="79">
        <f t="shared" si="82"/>
        <v>0</v>
      </c>
      <c r="W57" s="79">
        <f t="shared" si="83"/>
        <v>0</v>
      </c>
      <c r="X57" s="80">
        <f t="shared" ref="X57:Y57" si="220">IF(O57&gt;0,O57/K57,0)</f>
        <v>0.99999999999999989</v>
      </c>
      <c r="Y57" s="80">
        <f t="shared" si="220"/>
        <v>0</v>
      </c>
      <c r="Z57" s="80">
        <f t="shared" si="5"/>
        <v>0</v>
      </c>
      <c r="AA57" s="81"/>
      <c r="AB57" s="81"/>
      <c r="AC57" s="81"/>
      <c r="AD57" s="81"/>
      <c r="AE57" s="83"/>
      <c r="AF57" s="83"/>
      <c r="AG57" s="83"/>
      <c r="AH57" s="83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>
        <f>20523.64</f>
        <v>20523.64</v>
      </c>
      <c r="AW57" s="81"/>
      <c r="AX57" s="81"/>
      <c r="AY57" s="81">
        <f>871.03</f>
        <v>871.03</v>
      </c>
      <c r="AZ57" s="81"/>
      <c r="BA57" s="81"/>
      <c r="BB57" s="81"/>
      <c r="BC57" s="81"/>
      <c r="BD57" s="81"/>
      <c r="BE57" s="81"/>
      <c r="BF57" s="81"/>
      <c r="BG57" s="81"/>
      <c r="BH57" s="82">
        <v>3603.64</v>
      </c>
      <c r="BI57" s="81"/>
      <c r="BJ57" s="81"/>
      <c r="BK57" s="82">
        <v>24998.31</v>
      </c>
      <c r="BL57" s="82">
        <v>0</v>
      </c>
      <c r="BM57" s="82">
        <v>0</v>
      </c>
      <c r="BN57" s="81">
        <f t="shared" si="85"/>
        <v>0</v>
      </c>
      <c r="BO57" s="75">
        <f t="shared" si="86"/>
        <v>0</v>
      </c>
      <c r="BP57" s="81">
        <f t="shared" si="87"/>
        <v>0</v>
      </c>
      <c r="BQ57" s="81">
        <f t="shared" si="88"/>
        <v>0</v>
      </c>
      <c r="BR57" s="81">
        <f t="shared" si="89"/>
        <v>0</v>
      </c>
      <c r="BS57" s="81">
        <f t="shared" si="90"/>
        <v>0</v>
      </c>
      <c r="BT57" s="81">
        <f t="shared" si="91"/>
        <v>0</v>
      </c>
      <c r="BU57" s="81">
        <f t="shared" si="92"/>
        <v>0</v>
      </c>
      <c r="BV57" s="81">
        <f t="shared" si="93"/>
        <v>0</v>
      </c>
      <c r="BW57" s="81">
        <f t="shared" si="94"/>
        <v>0</v>
      </c>
      <c r="BX57" s="1"/>
      <c r="BY57" s="1"/>
      <c r="BZ57" s="1"/>
      <c r="CA57" s="1"/>
      <c r="CB57" s="1"/>
      <c r="CC57" s="1"/>
      <c r="CD57" s="1"/>
      <c r="CE57" s="1"/>
      <c r="CF57" s="1"/>
      <c r="CG57" s="1"/>
    </row>
    <row r="58" spans="1:85" ht="15.75" customHeight="1">
      <c r="A58" s="125" t="s">
        <v>214</v>
      </c>
      <c r="B58" s="115"/>
      <c r="C58" s="86" t="s">
        <v>209</v>
      </c>
      <c r="D58" s="126" t="s">
        <v>213</v>
      </c>
      <c r="E58" s="70"/>
      <c r="F58" s="71"/>
      <c r="G58" s="71">
        <f t="shared" si="78"/>
        <v>0</v>
      </c>
      <c r="H58" s="70"/>
      <c r="I58" s="72">
        <f t="shared" si="45"/>
        <v>0</v>
      </c>
      <c r="J58" s="72">
        <f t="shared" si="46"/>
        <v>0</v>
      </c>
      <c r="K58" s="73">
        <v>20000</v>
      </c>
      <c r="L58" s="81"/>
      <c r="M58" s="82"/>
      <c r="N58" s="88"/>
      <c r="O58" s="77">
        <f t="shared" ref="O58:Q58" si="221">AA58+AD58+AG58+AJ58+AM58+AP58+AS58+AV58+AY58+BB58+BE58+BH58</f>
        <v>16673.27</v>
      </c>
      <c r="P58" s="77">
        <f t="shared" si="221"/>
        <v>0</v>
      </c>
      <c r="Q58" s="77">
        <f t="shared" si="221"/>
        <v>0</v>
      </c>
      <c r="R58" s="77">
        <f t="shared" ref="R58:T58" si="222">IF(BK58=0,SUM(AA58+AD58+AG58+AJ58+AM58+AP58+AS58+AV58+AY58+BB58+BE58+BH58),BK58)</f>
        <v>16673.27</v>
      </c>
      <c r="S58" s="77">
        <f t="shared" si="222"/>
        <v>0</v>
      </c>
      <c r="T58" s="77">
        <f t="shared" si="222"/>
        <v>0</v>
      </c>
      <c r="U58" s="78">
        <f t="shared" si="81"/>
        <v>3326.7299999999996</v>
      </c>
      <c r="V58" s="79">
        <f t="shared" si="82"/>
        <v>0</v>
      </c>
      <c r="W58" s="79">
        <f t="shared" si="83"/>
        <v>0</v>
      </c>
      <c r="X58" s="80">
        <f t="shared" ref="X58:Y58" si="223">IF(O58&gt;0,O58/K58,0)</f>
        <v>0.8336635</v>
      </c>
      <c r="Y58" s="80">
        <f t="shared" si="223"/>
        <v>0</v>
      </c>
      <c r="Z58" s="80">
        <f t="shared" si="5"/>
        <v>0</v>
      </c>
      <c r="AA58" s="81"/>
      <c r="AB58" s="81"/>
      <c r="AC58" s="81"/>
      <c r="AD58" s="81"/>
      <c r="AE58" s="83"/>
      <c r="AF58" s="83"/>
      <c r="AG58" s="83"/>
      <c r="AH58" s="83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>
        <f>16673.27</f>
        <v>16673.27</v>
      </c>
      <c r="BI58" s="81"/>
      <c r="BJ58" s="81"/>
      <c r="BK58" s="82">
        <v>16673.27</v>
      </c>
      <c r="BL58" s="82">
        <v>0</v>
      </c>
      <c r="BM58" s="82">
        <v>0</v>
      </c>
      <c r="BN58" s="81">
        <f t="shared" si="85"/>
        <v>0</v>
      </c>
      <c r="BO58" s="75">
        <f t="shared" si="86"/>
        <v>0</v>
      </c>
      <c r="BP58" s="81">
        <f t="shared" si="87"/>
        <v>0</v>
      </c>
      <c r="BQ58" s="81">
        <f t="shared" si="88"/>
        <v>3326.7299999999996</v>
      </c>
      <c r="BR58" s="81">
        <f t="shared" si="89"/>
        <v>0</v>
      </c>
      <c r="BS58" s="81">
        <f t="shared" si="90"/>
        <v>3326.7299999999996</v>
      </c>
      <c r="BT58" s="81">
        <f t="shared" si="91"/>
        <v>0</v>
      </c>
      <c r="BU58" s="81">
        <f t="shared" si="92"/>
        <v>0</v>
      </c>
      <c r="BV58" s="81">
        <f t="shared" si="93"/>
        <v>3326.7299999999996</v>
      </c>
      <c r="BW58" s="81">
        <f t="shared" si="94"/>
        <v>3326.7299999999996</v>
      </c>
      <c r="BX58" s="1"/>
      <c r="BY58" s="1"/>
      <c r="BZ58" s="1"/>
      <c r="CA58" s="1"/>
      <c r="CB58" s="1"/>
      <c r="CC58" s="1"/>
      <c r="CD58" s="1"/>
      <c r="CE58" s="1"/>
      <c r="CF58" s="1"/>
      <c r="CG58" s="1"/>
    </row>
    <row r="59" spans="1:85" ht="15.75" customHeight="1">
      <c r="A59" s="84"/>
      <c r="B59" s="115" t="s">
        <v>215</v>
      </c>
      <c r="C59" s="86" t="s">
        <v>216</v>
      </c>
      <c r="D59" s="87" t="s">
        <v>217</v>
      </c>
      <c r="E59" s="70">
        <v>1000</v>
      </c>
      <c r="F59" s="71"/>
      <c r="G59" s="71">
        <f t="shared" si="78"/>
        <v>1000</v>
      </c>
      <c r="H59" s="70"/>
      <c r="I59" s="72">
        <f t="shared" si="45"/>
        <v>0</v>
      </c>
      <c r="J59" s="72">
        <f t="shared" si="46"/>
        <v>0</v>
      </c>
      <c r="K59" s="88"/>
      <c r="L59" s="81">
        <v>48.5</v>
      </c>
      <c r="M59" s="82">
        <v>48.5</v>
      </c>
      <c r="N59" s="88"/>
      <c r="O59" s="77">
        <f t="shared" ref="O59:Q59" si="224">AA59+AD59+AG59+AJ59+AM59+AP59+AS59+AV59+AY59+BB59+BE59+BH59</f>
        <v>0</v>
      </c>
      <c r="P59" s="77">
        <f t="shared" si="224"/>
        <v>0</v>
      </c>
      <c r="Q59" s="77">
        <f t="shared" si="224"/>
        <v>0</v>
      </c>
      <c r="R59" s="77">
        <f t="shared" ref="R59:T59" si="225">IF(BK59=0,SUM(AA59+AD59+AG59+AJ59+AM59+AP59+AS59+AV59+AY59+BB59+BE59+BH59),BK59)</f>
        <v>0</v>
      </c>
      <c r="S59" s="77">
        <f t="shared" si="225"/>
        <v>0</v>
      </c>
      <c r="T59" s="77">
        <f t="shared" si="225"/>
        <v>0</v>
      </c>
      <c r="U59" s="79">
        <f t="shared" si="81"/>
        <v>0</v>
      </c>
      <c r="V59" s="79">
        <f t="shared" si="82"/>
        <v>0</v>
      </c>
      <c r="W59" s="79">
        <f t="shared" si="83"/>
        <v>0</v>
      </c>
      <c r="X59" s="80">
        <f t="shared" ref="X59:Y59" si="226">IF(O59&gt;0,O59/K59,0)</f>
        <v>0</v>
      </c>
      <c r="Y59" s="80">
        <f t="shared" si="226"/>
        <v>0</v>
      </c>
      <c r="Z59" s="80">
        <f t="shared" si="5"/>
        <v>0</v>
      </c>
      <c r="AA59" s="81"/>
      <c r="AB59" s="81"/>
      <c r="AC59" s="81"/>
      <c r="AD59" s="81"/>
      <c r="AE59" s="83"/>
      <c r="AF59" s="83"/>
      <c r="AG59" s="83"/>
      <c r="AH59" s="83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2">
        <v>0</v>
      </c>
      <c r="BL59" s="82">
        <v>0</v>
      </c>
      <c r="BM59" s="82">
        <v>0</v>
      </c>
      <c r="BN59" s="81">
        <f t="shared" si="85"/>
        <v>0</v>
      </c>
      <c r="BO59" s="75">
        <f t="shared" si="86"/>
        <v>0</v>
      </c>
      <c r="BP59" s="81">
        <f t="shared" si="87"/>
        <v>0</v>
      </c>
      <c r="BQ59" s="81">
        <f t="shared" si="88"/>
        <v>0</v>
      </c>
      <c r="BR59" s="81">
        <f t="shared" si="89"/>
        <v>0</v>
      </c>
      <c r="BS59" s="81">
        <f t="shared" si="90"/>
        <v>0</v>
      </c>
      <c r="BT59" s="81">
        <f t="shared" si="91"/>
        <v>0</v>
      </c>
      <c r="BU59" s="81">
        <f t="shared" si="92"/>
        <v>0</v>
      </c>
      <c r="BV59" s="81">
        <f t="shared" si="93"/>
        <v>0</v>
      </c>
      <c r="BW59" s="81">
        <f t="shared" si="94"/>
        <v>0</v>
      </c>
      <c r="BX59" s="1"/>
      <c r="BY59" s="1"/>
      <c r="BZ59" s="1"/>
      <c r="CA59" s="1"/>
      <c r="CB59" s="1"/>
      <c r="CC59" s="1"/>
      <c r="CD59" s="1"/>
      <c r="CE59" s="1"/>
      <c r="CF59" s="1"/>
      <c r="CG59" s="1"/>
    </row>
    <row r="60" spans="1:85" ht="15.75" customHeight="1">
      <c r="A60" s="84"/>
      <c r="B60" s="115" t="s">
        <v>165</v>
      </c>
      <c r="C60" s="86" t="s">
        <v>216</v>
      </c>
      <c r="D60" s="87" t="s">
        <v>218</v>
      </c>
      <c r="E60" s="70"/>
      <c r="F60" s="71"/>
      <c r="G60" s="71">
        <f t="shared" si="78"/>
        <v>0</v>
      </c>
      <c r="H60" s="70"/>
      <c r="I60" s="72">
        <f t="shared" si="45"/>
        <v>0</v>
      </c>
      <c r="J60" s="72">
        <f t="shared" si="46"/>
        <v>0</v>
      </c>
      <c r="K60" s="88"/>
      <c r="L60" s="81">
        <v>145</v>
      </c>
      <c r="M60" s="82">
        <v>145</v>
      </c>
      <c r="N60" s="88"/>
      <c r="O60" s="77">
        <f t="shared" ref="O60:Q60" si="227">AA60+AD60+AG60+AJ60+AM60+AP60+AS60+AV60+AY60+BB60+BE60+BH60</f>
        <v>0</v>
      </c>
      <c r="P60" s="77">
        <f t="shared" si="227"/>
        <v>0</v>
      </c>
      <c r="Q60" s="77">
        <f t="shared" si="227"/>
        <v>0</v>
      </c>
      <c r="R60" s="77">
        <f t="shared" ref="R60:T60" si="228">IF(BK60=0,SUM(AA60+AD60+AG60+AJ60+AM60+AP60+AS60+AV60+AY60+BB60+BE60+BH60),BK60)</f>
        <v>0</v>
      </c>
      <c r="S60" s="77">
        <f t="shared" si="228"/>
        <v>0</v>
      </c>
      <c r="T60" s="77">
        <f t="shared" si="228"/>
        <v>0</v>
      </c>
      <c r="U60" s="79">
        <f t="shared" si="81"/>
        <v>0</v>
      </c>
      <c r="V60" s="79">
        <f t="shared" si="82"/>
        <v>0</v>
      </c>
      <c r="W60" s="79">
        <f t="shared" si="83"/>
        <v>0</v>
      </c>
      <c r="X60" s="80">
        <f t="shared" ref="X60:Y60" si="229">IF(O60&gt;0,O60/K60,0)</f>
        <v>0</v>
      </c>
      <c r="Y60" s="80">
        <f t="shared" si="229"/>
        <v>0</v>
      </c>
      <c r="Z60" s="80">
        <f t="shared" si="5"/>
        <v>0</v>
      </c>
      <c r="AA60" s="81"/>
      <c r="AB60" s="81"/>
      <c r="AC60" s="81"/>
      <c r="AD60" s="81"/>
      <c r="AE60" s="83"/>
      <c r="AF60" s="83"/>
      <c r="AG60" s="83"/>
      <c r="AH60" s="83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2">
        <v>0</v>
      </c>
      <c r="BL60" s="82">
        <v>0</v>
      </c>
      <c r="BM60" s="82">
        <v>0</v>
      </c>
      <c r="BN60" s="81">
        <f t="shared" si="85"/>
        <v>0</v>
      </c>
      <c r="BO60" s="75">
        <f t="shared" si="86"/>
        <v>0</v>
      </c>
      <c r="BP60" s="81">
        <f t="shared" si="87"/>
        <v>0</v>
      </c>
      <c r="BQ60" s="81">
        <f t="shared" si="88"/>
        <v>0</v>
      </c>
      <c r="BR60" s="81">
        <f t="shared" si="89"/>
        <v>0</v>
      </c>
      <c r="BS60" s="81">
        <f t="shared" si="90"/>
        <v>0</v>
      </c>
      <c r="BT60" s="81">
        <f t="shared" si="91"/>
        <v>0</v>
      </c>
      <c r="BU60" s="81">
        <f t="shared" si="92"/>
        <v>0</v>
      </c>
      <c r="BV60" s="81">
        <f t="shared" si="93"/>
        <v>0</v>
      </c>
      <c r="BW60" s="81">
        <f t="shared" si="94"/>
        <v>0</v>
      </c>
      <c r="BX60" s="1"/>
      <c r="BY60" s="1"/>
      <c r="BZ60" s="1"/>
      <c r="CA60" s="1"/>
      <c r="CB60" s="1"/>
      <c r="CC60" s="1"/>
      <c r="CD60" s="1"/>
      <c r="CE60" s="1"/>
      <c r="CF60" s="1"/>
      <c r="CG60" s="1"/>
    </row>
    <row r="61" spans="1:85" ht="15.75" customHeight="1">
      <c r="A61" s="84"/>
      <c r="B61" s="115"/>
      <c r="C61" s="86" t="s">
        <v>219</v>
      </c>
      <c r="D61" s="87" t="s">
        <v>220</v>
      </c>
      <c r="E61" s="70">
        <v>25000</v>
      </c>
      <c r="F61" s="71"/>
      <c r="G61" s="71">
        <f t="shared" si="78"/>
        <v>25000</v>
      </c>
      <c r="H61" s="70"/>
      <c r="I61" s="72">
        <f t="shared" si="45"/>
        <v>0</v>
      </c>
      <c r="J61" s="72">
        <f t="shared" si="46"/>
        <v>0</v>
      </c>
      <c r="K61" s="88"/>
      <c r="L61" s="81"/>
      <c r="M61" s="81"/>
      <c r="N61" s="88"/>
      <c r="O61" s="77">
        <f t="shared" ref="O61:Q61" si="230">AA61+AD61+AG61+AJ61+AM61+AP61+AS61+AV61+AY61+BB61+BE61+BH61</f>
        <v>0</v>
      </c>
      <c r="P61" s="77">
        <f t="shared" si="230"/>
        <v>0</v>
      </c>
      <c r="Q61" s="77">
        <f t="shared" si="230"/>
        <v>0</v>
      </c>
      <c r="R61" s="77">
        <f t="shared" ref="R61:T61" si="231">IF(BK61=0,SUM(AA61+AD61+AG61+AJ61+AM61+AP61+AS61+AV61+AY61+BB61+BE61+BH61),BK61)</f>
        <v>0</v>
      </c>
      <c r="S61" s="77">
        <f t="shared" si="231"/>
        <v>0</v>
      </c>
      <c r="T61" s="77">
        <f t="shared" si="231"/>
        <v>0</v>
      </c>
      <c r="U61" s="79">
        <f t="shared" si="81"/>
        <v>0</v>
      </c>
      <c r="V61" s="79">
        <f t="shared" si="82"/>
        <v>0</v>
      </c>
      <c r="W61" s="79">
        <f t="shared" si="83"/>
        <v>0</v>
      </c>
      <c r="X61" s="80">
        <f t="shared" ref="X61:Y61" si="232">IF(O61&gt;0,O61/K61,0)</f>
        <v>0</v>
      </c>
      <c r="Y61" s="80">
        <f t="shared" si="232"/>
        <v>0</v>
      </c>
      <c r="Z61" s="80">
        <f t="shared" si="5"/>
        <v>0</v>
      </c>
      <c r="AA61" s="81"/>
      <c r="AB61" s="81"/>
      <c r="AC61" s="81"/>
      <c r="AD61" s="81"/>
      <c r="AE61" s="83"/>
      <c r="AF61" s="83"/>
      <c r="AG61" s="83"/>
      <c r="AH61" s="83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2">
        <v>0</v>
      </c>
      <c r="BL61" s="82">
        <v>0</v>
      </c>
      <c r="BM61" s="82">
        <v>0</v>
      </c>
      <c r="BN61" s="81">
        <f t="shared" si="85"/>
        <v>0</v>
      </c>
      <c r="BO61" s="75">
        <f t="shared" si="86"/>
        <v>0</v>
      </c>
      <c r="BP61" s="81">
        <f t="shared" si="87"/>
        <v>0</v>
      </c>
      <c r="BQ61" s="81">
        <f t="shared" si="88"/>
        <v>0</v>
      </c>
      <c r="BR61" s="81">
        <f t="shared" si="89"/>
        <v>0</v>
      </c>
      <c r="BS61" s="81">
        <f t="shared" si="90"/>
        <v>0</v>
      </c>
      <c r="BT61" s="81">
        <f t="shared" si="91"/>
        <v>0</v>
      </c>
      <c r="BU61" s="81">
        <f t="shared" si="92"/>
        <v>0</v>
      </c>
      <c r="BV61" s="81">
        <f t="shared" si="93"/>
        <v>0</v>
      </c>
      <c r="BW61" s="81">
        <f t="shared" si="94"/>
        <v>0</v>
      </c>
      <c r="BX61" s="1"/>
      <c r="BY61" s="1"/>
      <c r="BZ61" s="1"/>
      <c r="CA61" s="1"/>
      <c r="CB61" s="1"/>
      <c r="CC61" s="1"/>
      <c r="CD61" s="1"/>
      <c r="CE61" s="1"/>
      <c r="CF61" s="1"/>
      <c r="CG61" s="1"/>
    </row>
    <row r="62" spans="1:85" ht="15.75" customHeight="1">
      <c r="A62" s="84"/>
      <c r="B62" s="115"/>
      <c r="C62" s="86" t="s">
        <v>221</v>
      </c>
      <c r="D62" s="87" t="s">
        <v>222</v>
      </c>
      <c r="E62" s="70">
        <v>5000</v>
      </c>
      <c r="F62" s="71"/>
      <c r="G62" s="71">
        <f t="shared" si="78"/>
        <v>5000</v>
      </c>
      <c r="H62" s="70"/>
      <c r="I62" s="72">
        <f t="shared" si="45"/>
        <v>0</v>
      </c>
      <c r="J62" s="72">
        <f t="shared" si="46"/>
        <v>0</v>
      </c>
      <c r="K62" s="88"/>
      <c r="L62" s="81"/>
      <c r="M62" s="81"/>
      <c r="N62" s="88"/>
      <c r="O62" s="77">
        <f t="shared" ref="O62:Q62" si="233">AA62+AD62+AG62+AJ62+AM62+AP62+AS62+AV62+AY62+BB62+BE62+BH62</f>
        <v>0</v>
      </c>
      <c r="P62" s="77">
        <f t="shared" si="233"/>
        <v>0</v>
      </c>
      <c r="Q62" s="77">
        <f t="shared" si="233"/>
        <v>0</v>
      </c>
      <c r="R62" s="77">
        <f t="shared" ref="R62:T62" si="234">IF(BK62=0,SUM(AA62+AD62+AG62+AJ62+AM62+AP62+AS62+AV62+AY62+BB62+BE62+BH62),BK62)</f>
        <v>0</v>
      </c>
      <c r="S62" s="77">
        <f t="shared" si="234"/>
        <v>0</v>
      </c>
      <c r="T62" s="77">
        <f t="shared" si="234"/>
        <v>0</v>
      </c>
      <c r="U62" s="79">
        <f t="shared" si="81"/>
        <v>0</v>
      </c>
      <c r="V62" s="79">
        <f t="shared" si="82"/>
        <v>0</v>
      </c>
      <c r="W62" s="79">
        <f t="shared" si="83"/>
        <v>0</v>
      </c>
      <c r="X62" s="80">
        <f t="shared" ref="X62:Y62" si="235">IF(O62&gt;0,O62/K62,0)</f>
        <v>0</v>
      </c>
      <c r="Y62" s="80">
        <f t="shared" si="235"/>
        <v>0</v>
      </c>
      <c r="Z62" s="80">
        <f t="shared" si="5"/>
        <v>0</v>
      </c>
      <c r="AA62" s="81"/>
      <c r="AB62" s="81"/>
      <c r="AC62" s="81"/>
      <c r="AD62" s="81"/>
      <c r="AE62" s="83"/>
      <c r="AF62" s="83"/>
      <c r="AG62" s="83"/>
      <c r="AH62" s="83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2">
        <v>0</v>
      </c>
      <c r="BL62" s="82">
        <v>0</v>
      </c>
      <c r="BM62" s="82">
        <v>0</v>
      </c>
      <c r="BN62" s="81">
        <f t="shared" si="85"/>
        <v>0</v>
      </c>
      <c r="BO62" s="75">
        <f t="shared" si="86"/>
        <v>0</v>
      </c>
      <c r="BP62" s="81">
        <f t="shared" si="87"/>
        <v>0</v>
      </c>
      <c r="BQ62" s="81">
        <f t="shared" si="88"/>
        <v>0</v>
      </c>
      <c r="BR62" s="81">
        <f t="shared" si="89"/>
        <v>0</v>
      </c>
      <c r="BS62" s="81">
        <f t="shared" si="90"/>
        <v>0</v>
      </c>
      <c r="BT62" s="81">
        <f t="shared" si="91"/>
        <v>0</v>
      </c>
      <c r="BU62" s="81">
        <f t="shared" si="92"/>
        <v>0</v>
      </c>
      <c r="BV62" s="81">
        <f t="shared" si="93"/>
        <v>0</v>
      </c>
      <c r="BW62" s="81">
        <f t="shared" si="94"/>
        <v>0</v>
      </c>
      <c r="BX62" s="1"/>
      <c r="BY62" s="1"/>
      <c r="BZ62" s="1"/>
      <c r="CA62" s="1"/>
      <c r="CB62" s="1"/>
      <c r="CC62" s="1"/>
      <c r="CD62" s="1"/>
      <c r="CE62" s="1"/>
      <c r="CF62" s="1"/>
      <c r="CG62" s="1"/>
    </row>
    <row r="63" spans="1:85" ht="15.75" customHeight="1">
      <c r="A63" s="108"/>
      <c r="B63" s="90" t="s">
        <v>215</v>
      </c>
      <c r="C63" s="91" t="s">
        <v>221</v>
      </c>
      <c r="D63" s="92" t="s">
        <v>223</v>
      </c>
      <c r="E63" s="70"/>
      <c r="F63" s="71"/>
      <c r="G63" s="71">
        <f t="shared" si="78"/>
        <v>0</v>
      </c>
      <c r="H63" s="70"/>
      <c r="I63" s="72">
        <f t="shared" si="45"/>
        <v>0</v>
      </c>
      <c r="J63" s="72">
        <f t="shared" si="46"/>
        <v>0</v>
      </c>
      <c r="K63" s="88"/>
      <c r="L63" s="81">
        <v>2388</v>
      </c>
      <c r="M63" s="82">
        <v>2388</v>
      </c>
      <c r="N63" s="88"/>
      <c r="O63" s="77">
        <f t="shared" ref="O63:Q63" si="236">AA63+AD63+AG63+AJ63+AM63+AP63+AS63+AV63+AY63+BB63+BE63+BH63</f>
        <v>0</v>
      </c>
      <c r="P63" s="77">
        <f t="shared" si="236"/>
        <v>0</v>
      </c>
      <c r="Q63" s="77">
        <f t="shared" si="236"/>
        <v>0</v>
      </c>
      <c r="R63" s="77">
        <f t="shared" ref="R63:T63" si="237">IF(BK63=0,SUM(AA63+AD63+AG63+AJ63+AM63+AP63+AS63+AV63+AY63+BB63+BE63+BH63),BK63)</f>
        <v>0</v>
      </c>
      <c r="S63" s="77">
        <f t="shared" si="237"/>
        <v>0</v>
      </c>
      <c r="T63" s="77">
        <f t="shared" si="237"/>
        <v>0</v>
      </c>
      <c r="U63" s="79">
        <f t="shared" si="81"/>
        <v>0</v>
      </c>
      <c r="V63" s="79">
        <f t="shared" si="82"/>
        <v>0</v>
      </c>
      <c r="W63" s="79">
        <f t="shared" si="83"/>
        <v>0</v>
      </c>
      <c r="X63" s="80">
        <f t="shared" ref="X63:Y63" si="238">IF(O63&gt;0,O63/K63,0)</f>
        <v>0</v>
      </c>
      <c r="Y63" s="80">
        <f t="shared" si="238"/>
        <v>0</v>
      </c>
      <c r="Z63" s="80">
        <f t="shared" si="5"/>
        <v>0</v>
      </c>
      <c r="AA63" s="81"/>
      <c r="AB63" s="81"/>
      <c r="AC63" s="81"/>
      <c r="AD63" s="81"/>
      <c r="AE63" s="83"/>
      <c r="AF63" s="83"/>
      <c r="AG63" s="83"/>
      <c r="AH63" s="83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2">
        <v>0</v>
      </c>
      <c r="BL63" s="82">
        <v>0</v>
      </c>
      <c r="BM63" s="82">
        <v>0</v>
      </c>
      <c r="BN63" s="81">
        <f t="shared" si="85"/>
        <v>0</v>
      </c>
      <c r="BO63" s="75">
        <f t="shared" si="86"/>
        <v>0</v>
      </c>
      <c r="BP63" s="81">
        <f t="shared" si="87"/>
        <v>0</v>
      </c>
      <c r="BQ63" s="81">
        <f t="shared" si="88"/>
        <v>0</v>
      </c>
      <c r="BR63" s="81">
        <f t="shared" si="89"/>
        <v>0</v>
      </c>
      <c r="BS63" s="81">
        <f t="shared" si="90"/>
        <v>0</v>
      </c>
      <c r="BT63" s="81">
        <f t="shared" si="91"/>
        <v>0</v>
      </c>
      <c r="BU63" s="81">
        <f t="shared" si="92"/>
        <v>0</v>
      </c>
      <c r="BV63" s="81">
        <f t="shared" si="93"/>
        <v>0</v>
      </c>
      <c r="BW63" s="81">
        <f t="shared" si="94"/>
        <v>0</v>
      </c>
      <c r="BX63" s="1"/>
      <c r="BY63" s="1"/>
      <c r="BZ63" s="1"/>
      <c r="CA63" s="1"/>
      <c r="CB63" s="1"/>
      <c r="CC63" s="1"/>
      <c r="CD63" s="1"/>
      <c r="CE63" s="1"/>
      <c r="CF63" s="1"/>
      <c r="CG63" s="1"/>
    </row>
    <row r="64" spans="1:85" ht="15.75">
      <c r="A64" s="109"/>
      <c r="B64" s="110"/>
      <c r="C64" s="111"/>
      <c r="D64" s="112" t="s">
        <v>224</v>
      </c>
      <c r="E64" s="58">
        <f t="shared" ref="E64:H64" si="239">SUM(E65:E75)</f>
        <v>1420000</v>
      </c>
      <c r="F64" s="59">
        <f t="shared" si="239"/>
        <v>175357.14</v>
      </c>
      <c r="G64" s="59">
        <f t="shared" si="239"/>
        <v>1244642.8599999999</v>
      </c>
      <c r="H64" s="59">
        <f t="shared" si="239"/>
        <v>0</v>
      </c>
      <c r="I64" s="60">
        <f t="shared" si="45"/>
        <v>1.0510035143735932</v>
      </c>
      <c r="J64" s="60">
        <f t="shared" si="46"/>
        <v>1.0510035143735932</v>
      </c>
      <c r="K64" s="59">
        <f t="shared" ref="K64:W64" si="240">SUM(K65:K75)</f>
        <v>1308124.02</v>
      </c>
      <c r="L64" s="59">
        <f t="shared" si="240"/>
        <v>185569</v>
      </c>
      <c r="M64" s="59">
        <f t="shared" si="240"/>
        <v>0</v>
      </c>
      <c r="N64" s="59">
        <f t="shared" si="240"/>
        <v>0</v>
      </c>
      <c r="O64" s="59">
        <f t="shared" si="240"/>
        <v>1308124.02</v>
      </c>
      <c r="P64" s="59">
        <f t="shared" si="240"/>
        <v>77144.72</v>
      </c>
      <c r="Q64" s="59">
        <f t="shared" si="240"/>
        <v>0</v>
      </c>
      <c r="R64" s="59">
        <f t="shared" si="240"/>
        <v>1242498.96</v>
      </c>
      <c r="S64" s="59">
        <f t="shared" si="240"/>
        <v>77144.72</v>
      </c>
      <c r="T64" s="59">
        <f t="shared" si="240"/>
        <v>0</v>
      </c>
      <c r="U64" s="59">
        <f t="shared" si="240"/>
        <v>0</v>
      </c>
      <c r="V64" s="59">
        <f t="shared" si="240"/>
        <v>108424.28</v>
      </c>
      <c r="W64" s="59">
        <f t="shared" si="240"/>
        <v>0</v>
      </c>
      <c r="X64" s="63">
        <f t="shared" ref="X64:Y64" si="241">IF(O64&gt;0,O64/K64,0)</f>
        <v>1</v>
      </c>
      <c r="Y64" s="63">
        <f t="shared" si="241"/>
        <v>0.41571986700364827</v>
      </c>
      <c r="Z64" s="63">
        <f t="shared" si="5"/>
        <v>0</v>
      </c>
      <c r="AA64" s="59">
        <f t="shared" ref="AA64:BW64" si="242">SUM(AA65:AA75)</f>
        <v>0</v>
      </c>
      <c r="AB64" s="59">
        <f t="shared" si="242"/>
        <v>74487.989999999991</v>
      </c>
      <c r="AC64" s="59">
        <f t="shared" si="242"/>
        <v>0</v>
      </c>
      <c r="AD64" s="59">
        <f t="shared" si="242"/>
        <v>0</v>
      </c>
      <c r="AE64" s="59">
        <f t="shared" si="242"/>
        <v>2656.73</v>
      </c>
      <c r="AF64" s="59">
        <f t="shared" si="242"/>
        <v>0</v>
      </c>
      <c r="AG64" s="59">
        <f t="shared" si="242"/>
        <v>38445.269999999997</v>
      </c>
      <c r="AH64" s="59">
        <f t="shared" si="242"/>
        <v>0</v>
      </c>
      <c r="AI64" s="59">
        <f t="shared" si="242"/>
        <v>0</v>
      </c>
      <c r="AJ64" s="59">
        <f t="shared" si="242"/>
        <v>38445.269999999997</v>
      </c>
      <c r="AK64" s="59">
        <f t="shared" si="242"/>
        <v>0</v>
      </c>
      <c r="AL64" s="59">
        <f t="shared" si="242"/>
        <v>0</v>
      </c>
      <c r="AM64" s="59">
        <f t="shared" si="242"/>
        <v>76913.7</v>
      </c>
      <c r="AN64" s="59">
        <f t="shared" si="242"/>
        <v>0</v>
      </c>
      <c r="AO64" s="59">
        <f t="shared" si="242"/>
        <v>0</v>
      </c>
      <c r="AP64" s="59">
        <f t="shared" si="242"/>
        <v>96771.78</v>
      </c>
      <c r="AQ64" s="59">
        <f t="shared" si="242"/>
        <v>0</v>
      </c>
      <c r="AR64" s="59">
        <f t="shared" si="242"/>
        <v>0</v>
      </c>
      <c r="AS64" s="59">
        <f t="shared" si="242"/>
        <v>117275.31</v>
      </c>
      <c r="AT64" s="59">
        <f t="shared" si="242"/>
        <v>0</v>
      </c>
      <c r="AU64" s="59">
        <f t="shared" si="242"/>
        <v>0</v>
      </c>
      <c r="AV64" s="59">
        <f t="shared" si="242"/>
        <v>186599.12</v>
      </c>
      <c r="AW64" s="59">
        <f t="shared" si="242"/>
        <v>0</v>
      </c>
      <c r="AX64" s="59">
        <f t="shared" si="242"/>
        <v>0</v>
      </c>
      <c r="AY64" s="59">
        <f t="shared" si="242"/>
        <v>331553.88</v>
      </c>
      <c r="AZ64" s="59">
        <f t="shared" si="242"/>
        <v>0</v>
      </c>
      <c r="BA64" s="59">
        <f t="shared" si="242"/>
        <v>0</v>
      </c>
      <c r="BB64" s="59">
        <f t="shared" si="242"/>
        <v>139351.16</v>
      </c>
      <c r="BC64" s="59">
        <f t="shared" si="242"/>
        <v>0</v>
      </c>
      <c r="BD64" s="59">
        <f t="shared" si="242"/>
        <v>0</v>
      </c>
      <c r="BE64" s="59">
        <f t="shared" si="242"/>
        <v>117025.47</v>
      </c>
      <c r="BF64" s="59">
        <f t="shared" si="242"/>
        <v>0</v>
      </c>
      <c r="BG64" s="59">
        <f t="shared" si="242"/>
        <v>0</v>
      </c>
      <c r="BH64" s="59">
        <f t="shared" si="242"/>
        <v>165743.06</v>
      </c>
      <c r="BI64" s="59">
        <f t="shared" si="242"/>
        <v>0</v>
      </c>
      <c r="BJ64" s="59">
        <f t="shared" si="242"/>
        <v>0</v>
      </c>
      <c r="BK64" s="59">
        <f t="shared" si="242"/>
        <v>1242498.96</v>
      </c>
      <c r="BL64" s="59">
        <f t="shared" si="242"/>
        <v>77144.72</v>
      </c>
      <c r="BM64" s="59">
        <f t="shared" si="242"/>
        <v>0</v>
      </c>
      <c r="BN64" s="59">
        <f t="shared" si="242"/>
        <v>65625.06</v>
      </c>
      <c r="BO64" s="59">
        <f t="shared" si="242"/>
        <v>0</v>
      </c>
      <c r="BP64" s="59">
        <f t="shared" si="242"/>
        <v>65625.06</v>
      </c>
      <c r="BQ64" s="59">
        <f t="shared" si="242"/>
        <v>0</v>
      </c>
      <c r="BR64" s="59">
        <f t="shared" si="242"/>
        <v>0</v>
      </c>
      <c r="BS64" s="59">
        <f t="shared" si="242"/>
        <v>0</v>
      </c>
      <c r="BT64" s="59">
        <f t="shared" si="242"/>
        <v>108424.28</v>
      </c>
      <c r="BU64" s="59">
        <f t="shared" si="242"/>
        <v>65625.06</v>
      </c>
      <c r="BV64" s="59">
        <f t="shared" si="242"/>
        <v>0</v>
      </c>
      <c r="BW64" s="59">
        <f t="shared" si="242"/>
        <v>174049.34000000003</v>
      </c>
      <c r="BX64" s="65"/>
      <c r="BY64" s="65"/>
      <c r="BZ64" s="65"/>
      <c r="CA64" s="65"/>
      <c r="CB64" s="65"/>
      <c r="CC64" s="65"/>
      <c r="CD64" s="65"/>
      <c r="CE64" s="65"/>
      <c r="CF64" s="65"/>
      <c r="CG64" s="65"/>
    </row>
    <row r="65" spans="1:85" ht="15.75" customHeight="1">
      <c r="A65" s="113"/>
      <c r="B65" s="114"/>
      <c r="C65" s="68" t="s">
        <v>225</v>
      </c>
      <c r="D65" s="130" t="s">
        <v>226</v>
      </c>
      <c r="E65" s="70">
        <v>90000</v>
      </c>
      <c r="F65" s="71"/>
      <c r="G65" s="71">
        <f t="shared" ref="G65:G66" si="243">E65-F65</f>
        <v>90000</v>
      </c>
      <c r="H65" s="70"/>
      <c r="I65" s="72">
        <f t="shared" si="45"/>
        <v>0</v>
      </c>
      <c r="J65" s="72">
        <f t="shared" si="46"/>
        <v>0</v>
      </c>
      <c r="K65" s="88"/>
      <c r="L65" s="81"/>
      <c r="M65" s="81"/>
      <c r="N65" s="88"/>
      <c r="O65" s="77">
        <f t="shared" ref="O65:Q65" si="244">AA65+AD65+AG65+AJ65+AM65+AP65+AS65+AV65+AY65+BB65+BE65+BH65</f>
        <v>0</v>
      </c>
      <c r="P65" s="77">
        <f t="shared" si="244"/>
        <v>0</v>
      </c>
      <c r="Q65" s="77">
        <f t="shared" si="244"/>
        <v>0</v>
      </c>
      <c r="R65" s="77">
        <f t="shared" ref="R65:T65" si="245">IF(BK65=0,SUM(AA65+AD65+AG65+AJ65+AM65+AP65+AS65+AV65+AY65+BB65+BE65+BH65),BK65)</f>
        <v>0</v>
      </c>
      <c r="S65" s="77">
        <f t="shared" si="245"/>
        <v>0</v>
      </c>
      <c r="T65" s="77">
        <f t="shared" si="245"/>
        <v>0</v>
      </c>
      <c r="U65" s="79">
        <f t="shared" ref="U65:U75" si="246">K65-O65</f>
        <v>0</v>
      </c>
      <c r="V65" s="79">
        <f t="shared" ref="V65:V75" si="247">L65-M65-S65</f>
        <v>0</v>
      </c>
      <c r="W65" s="79">
        <f t="shared" ref="W65:W75" si="248">N65-Q65</f>
        <v>0</v>
      </c>
      <c r="X65" s="80">
        <f t="shared" ref="X65:Y65" si="249">IF(O65&gt;0,O65/K65,0)</f>
        <v>0</v>
      </c>
      <c r="Y65" s="80">
        <f t="shared" si="249"/>
        <v>0</v>
      </c>
      <c r="Z65" s="80">
        <f t="shared" si="5"/>
        <v>0</v>
      </c>
      <c r="AA65" s="81"/>
      <c r="AB65" s="81"/>
      <c r="AC65" s="81"/>
      <c r="AD65" s="81"/>
      <c r="AE65" s="83"/>
      <c r="AF65" s="83"/>
      <c r="AG65" s="83"/>
      <c r="AH65" s="83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2">
        <v>0</v>
      </c>
      <c r="BL65" s="82">
        <v>0</v>
      </c>
      <c r="BM65" s="82">
        <v>0</v>
      </c>
      <c r="BN65" s="81">
        <f t="shared" ref="BN65:BN75" si="250">IF(O65-BK65&gt;0,O65-BK65,0)</f>
        <v>0</v>
      </c>
      <c r="BO65" s="75">
        <f t="shared" ref="BO65:BO75" si="251">IF(Q65-BM65&gt;0,Q65-BM65,0)</f>
        <v>0</v>
      </c>
      <c r="BP65" s="81">
        <f t="shared" ref="BP65:BP75" si="252">IF(BN65+BO65&gt;0,BN65+BO65,0)</f>
        <v>0</v>
      </c>
      <c r="BQ65" s="81">
        <f t="shared" ref="BQ65:BQ75" si="253">IF(U65=0,0,U65)</f>
        <v>0</v>
      </c>
      <c r="BR65" s="81">
        <f t="shared" ref="BR65:BR75" si="254">IF(W65=0,0,W65)</f>
        <v>0</v>
      </c>
      <c r="BS65" s="81">
        <f t="shared" ref="BS65:BS75" si="255">IF(BQ65+BR65&gt;0,BQ65+BR65,0)</f>
        <v>0</v>
      </c>
      <c r="BT65" s="81">
        <f t="shared" ref="BT65:BT75" si="256">IF(V65&gt;0,V65,0)</f>
        <v>0</v>
      </c>
      <c r="BU65" s="81">
        <f t="shared" ref="BU65:BU75" si="257">IF(BP65=0,0,BP65)</f>
        <v>0</v>
      </c>
      <c r="BV65" s="81">
        <f t="shared" ref="BV65:BV75" si="258">IF(BS65=0,0,BS65)</f>
        <v>0</v>
      </c>
      <c r="BW65" s="81">
        <f t="shared" ref="BW65:BW75" si="259">IF(BP65+BT65+BV65&gt;0,BP65+BT65+BV65,0)</f>
        <v>0</v>
      </c>
      <c r="BX65" s="1"/>
      <c r="BY65" s="1"/>
      <c r="BZ65" s="1"/>
      <c r="CA65" s="1"/>
      <c r="CB65" s="1"/>
      <c r="CC65" s="1"/>
      <c r="CD65" s="1"/>
      <c r="CE65" s="1"/>
      <c r="CF65" s="1"/>
      <c r="CG65" s="1"/>
    </row>
    <row r="66" spans="1:85" ht="15.75" customHeight="1">
      <c r="A66" s="89" t="s">
        <v>227</v>
      </c>
      <c r="B66" s="115"/>
      <c r="C66" s="86" t="s">
        <v>228</v>
      </c>
      <c r="D66" s="126" t="s">
        <v>229</v>
      </c>
      <c r="E66" s="70">
        <v>700000</v>
      </c>
      <c r="F66" s="131">
        <f>300000-84348.62-40294.24</f>
        <v>175357.14</v>
      </c>
      <c r="G66" s="71">
        <f t="shared" si="243"/>
        <v>524642.86</v>
      </c>
      <c r="H66" s="70"/>
      <c r="I66" s="72">
        <f t="shared" si="45"/>
        <v>0.80594137886485295</v>
      </c>
      <c r="J66" s="72">
        <f t="shared" si="46"/>
        <v>0.80594137886485295</v>
      </c>
      <c r="K66" s="73">
        <f>357169.82+157988.95-40000-3095.33-49232.05</f>
        <v>422831.39</v>
      </c>
      <c r="L66" s="81"/>
      <c r="M66" s="81"/>
      <c r="N66" s="88"/>
      <c r="O66" s="77">
        <f t="shared" ref="O66:Q66" si="260">AA66+AD66+AG66+AJ66+AM66+AP66+AS66+AV66+AY66+BB66+BE66+BH66</f>
        <v>422831.39</v>
      </c>
      <c r="P66" s="77">
        <f t="shared" si="260"/>
        <v>0</v>
      </c>
      <c r="Q66" s="77">
        <f t="shared" si="260"/>
        <v>0</v>
      </c>
      <c r="R66" s="77">
        <f t="shared" ref="R66:T66" si="261">IF(BK66=0,SUM(AA66+AD66+AG66+AJ66+AM66+AP66+AS66+AV66+AY66+BB66+BE66+BH66),BK66)</f>
        <v>422831.39</v>
      </c>
      <c r="S66" s="77">
        <f t="shared" si="261"/>
        <v>0</v>
      </c>
      <c r="T66" s="77">
        <f t="shared" si="261"/>
        <v>0</v>
      </c>
      <c r="U66" s="78">
        <f t="shared" si="246"/>
        <v>0</v>
      </c>
      <c r="V66" s="79">
        <f t="shared" si="247"/>
        <v>0</v>
      </c>
      <c r="W66" s="79">
        <f t="shared" si="248"/>
        <v>0</v>
      </c>
      <c r="X66" s="80">
        <f t="shared" ref="X66:Y66" si="262">IF(O66&gt;0,O66/K66,0)</f>
        <v>1</v>
      </c>
      <c r="Y66" s="80">
        <f t="shared" si="262"/>
        <v>0</v>
      </c>
      <c r="Z66" s="80">
        <f t="shared" si="5"/>
        <v>0</v>
      </c>
      <c r="AA66" s="81"/>
      <c r="AB66" s="81"/>
      <c r="AC66" s="81"/>
      <c r="AD66" s="81"/>
      <c r="AE66" s="83"/>
      <c r="AF66" s="83"/>
      <c r="AG66" s="83"/>
      <c r="AH66" s="83"/>
      <c r="AI66" s="81"/>
      <c r="AJ66" s="81"/>
      <c r="AK66" s="81"/>
      <c r="AL66" s="81"/>
      <c r="AM66" s="81"/>
      <c r="AN66" s="81"/>
      <c r="AO66" s="81"/>
      <c r="AP66" s="82">
        <v>20569.23</v>
      </c>
      <c r="AQ66" s="81"/>
      <c r="AR66" s="81"/>
      <c r="AS66" s="81"/>
      <c r="AT66" s="81"/>
      <c r="AU66" s="81"/>
      <c r="AV66" s="81">
        <f>55940.43</f>
        <v>55940.43</v>
      </c>
      <c r="AW66" s="81"/>
      <c r="AX66" s="81"/>
      <c r="AY66" s="81">
        <f>51024.26+51024.26+55940.43+55940.43</f>
        <v>213929.38</v>
      </c>
      <c r="AZ66" s="81"/>
      <c r="BA66" s="81"/>
      <c r="BB66" s="81">
        <f>55940.43</f>
        <v>55940.43</v>
      </c>
      <c r="BC66" s="81"/>
      <c r="BD66" s="81"/>
      <c r="BE66" s="81">
        <f>55940.43+20511.49</f>
        <v>76451.92</v>
      </c>
      <c r="BF66" s="81"/>
      <c r="BG66" s="81"/>
      <c r="BH66" s="81"/>
      <c r="BI66" s="81"/>
      <c r="BJ66" s="81"/>
      <c r="BK66" s="82">
        <v>422831.39</v>
      </c>
      <c r="BL66" s="82">
        <v>0</v>
      </c>
      <c r="BM66" s="82">
        <v>0</v>
      </c>
      <c r="BN66" s="81">
        <f t="shared" si="250"/>
        <v>0</v>
      </c>
      <c r="BO66" s="75">
        <f t="shared" si="251"/>
        <v>0</v>
      </c>
      <c r="BP66" s="81">
        <f t="shared" si="252"/>
        <v>0</v>
      </c>
      <c r="BQ66" s="81">
        <f t="shared" si="253"/>
        <v>0</v>
      </c>
      <c r="BR66" s="81">
        <f t="shared" si="254"/>
        <v>0</v>
      </c>
      <c r="BS66" s="81">
        <f t="shared" si="255"/>
        <v>0</v>
      </c>
      <c r="BT66" s="81">
        <f t="shared" si="256"/>
        <v>0</v>
      </c>
      <c r="BU66" s="81">
        <f t="shared" si="257"/>
        <v>0</v>
      </c>
      <c r="BV66" s="81">
        <f t="shared" si="258"/>
        <v>0</v>
      </c>
      <c r="BW66" s="81">
        <f t="shared" si="259"/>
        <v>0</v>
      </c>
      <c r="BX66" s="1"/>
      <c r="BY66" s="1"/>
      <c r="BZ66" s="1"/>
      <c r="CA66" s="1"/>
      <c r="CB66" s="1"/>
      <c r="CC66" s="1"/>
      <c r="CD66" s="1"/>
      <c r="CE66" s="1"/>
      <c r="CF66" s="1"/>
      <c r="CG66" s="1"/>
    </row>
    <row r="67" spans="1:85" ht="15.75" customHeight="1">
      <c r="A67" s="89" t="s">
        <v>230</v>
      </c>
      <c r="B67" s="132"/>
      <c r="C67" s="86" t="s">
        <v>228</v>
      </c>
      <c r="D67" s="126" t="s">
        <v>231</v>
      </c>
      <c r="E67" s="70"/>
      <c r="F67" s="71"/>
      <c r="G67" s="93">
        <v>0</v>
      </c>
      <c r="H67" s="70"/>
      <c r="I67" s="72">
        <f t="shared" si="45"/>
        <v>0</v>
      </c>
      <c r="J67" s="72">
        <f t="shared" si="46"/>
        <v>0</v>
      </c>
      <c r="K67" s="73">
        <v>39605.129999999997</v>
      </c>
      <c r="L67" s="81"/>
      <c r="M67" s="81"/>
      <c r="N67" s="88"/>
      <c r="O67" s="77">
        <f t="shared" ref="O67:Q67" si="263">AA67+AD67+AG67+AJ67+AM67+AP67+AS67+AV67+AY67+BB67+BE67+BH67</f>
        <v>39605.130000000005</v>
      </c>
      <c r="P67" s="77">
        <f t="shared" si="263"/>
        <v>0</v>
      </c>
      <c r="Q67" s="77">
        <f t="shared" si="263"/>
        <v>0</v>
      </c>
      <c r="R67" s="77">
        <f t="shared" ref="R67:T67" si="264">IF(BK67=0,SUM(AA67+AD67+AG67+AJ67+AM67+AP67+AS67+AV67+AY67+BB67+BE67+BH67),BK67)</f>
        <v>35248.57</v>
      </c>
      <c r="S67" s="77">
        <f t="shared" si="264"/>
        <v>0</v>
      </c>
      <c r="T67" s="77">
        <f t="shared" si="264"/>
        <v>0</v>
      </c>
      <c r="U67" s="78">
        <f t="shared" si="246"/>
        <v>0</v>
      </c>
      <c r="V67" s="79">
        <f t="shared" si="247"/>
        <v>0</v>
      </c>
      <c r="W67" s="79">
        <f t="shared" si="248"/>
        <v>0</v>
      </c>
      <c r="X67" s="80">
        <f t="shared" ref="X67:Y67" si="265">IF(O67&gt;0,O67/K67,0)</f>
        <v>1.0000000000000002</v>
      </c>
      <c r="Y67" s="80">
        <f t="shared" si="265"/>
        <v>0</v>
      </c>
      <c r="Z67" s="80">
        <f t="shared" si="5"/>
        <v>0</v>
      </c>
      <c r="AA67" s="82"/>
      <c r="AB67" s="82"/>
      <c r="AC67" s="81"/>
      <c r="AD67" s="81"/>
      <c r="AE67" s="83"/>
      <c r="AF67" s="83"/>
      <c r="AG67" s="128"/>
      <c r="AH67" s="83"/>
      <c r="AI67" s="81"/>
      <c r="AJ67" s="82"/>
      <c r="AK67" s="81"/>
      <c r="AL67" s="81"/>
      <c r="AM67" s="82"/>
      <c r="AN67" s="81"/>
      <c r="AO67" s="81"/>
      <c r="AP67" s="82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>
        <f>39605.12+0.01</f>
        <v>39605.130000000005</v>
      </c>
      <c r="BI67" s="81"/>
      <c r="BJ67" s="81"/>
      <c r="BK67" s="81">
        <f>39605.13-4356.56</f>
        <v>35248.57</v>
      </c>
      <c r="BL67" s="82">
        <v>0</v>
      </c>
      <c r="BM67" s="82">
        <v>0</v>
      </c>
      <c r="BN67" s="133">
        <f t="shared" si="250"/>
        <v>4356.5600000000049</v>
      </c>
      <c r="BO67" s="75">
        <f t="shared" si="251"/>
        <v>0</v>
      </c>
      <c r="BP67" s="81">
        <f t="shared" si="252"/>
        <v>4356.5600000000049</v>
      </c>
      <c r="BQ67" s="81">
        <f t="shared" si="253"/>
        <v>0</v>
      </c>
      <c r="BR67" s="81">
        <f t="shared" si="254"/>
        <v>0</v>
      </c>
      <c r="BS67" s="81">
        <f t="shared" si="255"/>
        <v>0</v>
      </c>
      <c r="BT67" s="81">
        <f t="shared" si="256"/>
        <v>0</v>
      </c>
      <c r="BU67" s="81">
        <f t="shared" si="257"/>
        <v>4356.5600000000049</v>
      </c>
      <c r="BV67" s="81">
        <f t="shared" si="258"/>
        <v>0</v>
      </c>
      <c r="BW67" s="81">
        <f t="shared" si="259"/>
        <v>4356.5600000000049</v>
      </c>
      <c r="BX67" s="1"/>
      <c r="BY67" s="1"/>
      <c r="BZ67" s="1"/>
      <c r="CA67" s="1"/>
      <c r="CB67" s="1"/>
      <c r="CC67" s="1"/>
      <c r="CD67" s="1"/>
      <c r="CE67" s="1"/>
      <c r="CF67" s="1"/>
      <c r="CG67" s="1"/>
    </row>
    <row r="68" spans="1:85" ht="15.75" customHeight="1">
      <c r="A68" s="134" t="s">
        <v>232</v>
      </c>
      <c r="B68" s="132" t="s">
        <v>233</v>
      </c>
      <c r="C68" s="86" t="s">
        <v>234</v>
      </c>
      <c r="D68" s="135" t="s">
        <v>235</v>
      </c>
      <c r="E68" s="70">
        <v>370000</v>
      </c>
      <c r="F68" s="71"/>
      <c r="G68" s="71">
        <f>E68-F68</f>
        <v>370000</v>
      </c>
      <c r="H68" s="70"/>
      <c r="I68" s="72">
        <f t="shared" si="45"/>
        <v>1.2423024054054055</v>
      </c>
      <c r="J68" s="72">
        <f t="shared" si="46"/>
        <v>1.2423024054054055</v>
      </c>
      <c r="K68" s="73">
        <f>38445.27+346007.43+75199.19</f>
        <v>459651.89</v>
      </c>
      <c r="L68" s="81">
        <v>38445.269999999997</v>
      </c>
      <c r="M68" s="81"/>
      <c r="N68" s="88"/>
      <c r="O68" s="77">
        <f t="shared" ref="O68:Q68" si="266">AA68+AD68+AG68+AJ68+AM68+AP68+AS68+AV68+AY68+BB68+BE68+BH68</f>
        <v>459651.89</v>
      </c>
      <c r="P68" s="77">
        <f t="shared" si="266"/>
        <v>38445.269999999997</v>
      </c>
      <c r="Q68" s="77">
        <f t="shared" si="266"/>
        <v>0</v>
      </c>
      <c r="R68" s="77">
        <f t="shared" ref="R68:T68" si="267">IF(BK68=0,SUM(AA68+AD68+AG68+AJ68+AM68+AP68+AS68+AV68+AY68+BB68+BE68+BH68),BK68)</f>
        <v>407478.75</v>
      </c>
      <c r="S68" s="77">
        <f t="shared" si="267"/>
        <v>38445.269999999997</v>
      </c>
      <c r="T68" s="77">
        <f t="shared" si="267"/>
        <v>0</v>
      </c>
      <c r="U68" s="78">
        <f t="shared" si="246"/>
        <v>0</v>
      </c>
      <c r="V68" s="79">
        <f t="shared" si="247"/>
        <v>0</v>
      </c>
      <c r="W68" s="79">
        <f t="shared" si="248"/>
        <v>0</v>
      </c>
      <c r="X68" s="80">
        <f t="shared" ref="X68:Y68" si="268">IF(O68&gt;0,O68/K68,0)</f>
        <v>1</v>
      </c>
      <c r="Y68" s="80">
        <f t="shared" si="268"/>
        <v>1</v>
      </c>
      <c r="Z68" s="80">
        <f t="shared" si="5"/>
        <v>0</v>
      </c>
      <c r="AA68" s="82"/>
      <c r="AB68" s="82">
        <v>38445.269999999997</v>
      </c>
      <c r="AC68" s="81"/>
      <c r="AD68" s="81"/>
      <c r="AE68" s="83"/>
      <c r="AF68" s="83"/>
      <c r="AG68" s="128">
        <v>38445.269999999997</v>
      </c>
      <c r="AH68" s="83"/>
      <c r="AI68" s="81"/>
      <c r="AJ68" s="82">
        <v>38445.269999999997</v>
      </c>
      <c r="AK68" s="81"/>
      <c r="AL68" s="81"/>
      <c r="AM68" s="82">
        <v>38445.269999999997</v>
      </c>
      <c r="AN68" s="81"/>
      <c r="AO68" s="81"/>
      <c r="AP68" s="82">
        <v>38445.269999999997</v>
      </c>
      <c r="AQ68" s="81"/>
      <c r="AR68" s="81"/>
      <c r="AS68" s="81">
        <f>55582.01+41714.8</f>
        <v>97296.81</v>
      </c>
      <c r="AT68" s="81"/>
      <c r="AU68" s="81"/>
      <c r="AV68" s="81">
        <f>46156.65</f>
        <v>46156.65</v>
      </c>
      <c r="AW68" s="81"/>
      <c r="AX68" s="81"/>
      <c r="AY68" s="81">
        <f>26651.1+46156.65</f>
        <v>72807.75</v>
      </c>
      <c r="AZ68" s="81"/>
      <c r="BA68" s="81"/>
      <c r="BB68" s="81">
        <f>46156.65</f>
        <v>46156.65</v>
      </c>
      <c r="BC68" s="81"/>
      <c r="BD68" s="81"/>
      <c r="BE68" s="81"/>
      <c r="BF68" s="81"/>
      <c r="BG68" s="81"/>
      <c r="BH68" s="81">
        <f>43452.95</f>
        <v>43452.95</v>
      </c>
      <c r="BI68" s="81"/>
      <c r="BJ68" s="81"/>
      <c r="BK68" s="81">
        <f>459651.89-52173.14</f>
        <v>407478.75</v>
      </c>
      <c r="BL68" s="82">
        <v>38445.269999999997</v>
      </c>
      <c r="BM68" s="82">
        <v>0</v>
      </c>
      <c r="BN68" s="133">
        <f t="shared" si="250"/>
        <v>52173.140000000014</v>
      </c>
      <c r="BO68" s="75">
        <f t="shared" si="251"/>
        <v>0</v>
      </c>
      <c r="BP68" s="81">
        <f t="shared" si="252"/>
        <v>52173.140000000014</v>
      </c>
      <c r="BQ68" s="81">
        <f t="shared" si="253"/>
        <v>0</v>
      </c>
      <c r="BR68" s="81">
        <f t="shared" si="254"/>
        <v>0</v>
      </c>
      <c r="BS68" s="81">
        <f t="shared" si="255"/>
        <v>0</v>
      </c>
      <c r="BT68" s="81">
        <f t="shared" si="256"/>
        <v>0</v>
      </c>
      <c r="BU68" s="81">
        <f t="shared" si="257"/>
        <v>52173.140000000014</v>
      </c>
      <c r="BV68" s="81">
        <f t="shared" si="258"/>
        <v>0</v>
      </c>
      <c r="BW68" s="81">
        <f t="shared" si="259"/>
        <v>52173.140000000014</v>
      </c>
      <c r="BX68" s="1"/>
      <c r="BY68" s="1"/>
      <c r="BZ68" s="1"/>
      <c r="CA68" s="1"/>
      <c r="CB68" s="1"/>
      <c r="CC68" s="1"/>
      <c r="CD68" s="1"/>
      <c r="CE68" s="1"/>
      <c r="CF68" s="1"/>
      <c r="CG68" s="1"/>
    </row>
    <row r="69" spans="1:85" ht="15.75" customHeight="1">
      <c r="A69" s="134"/>
      <c r="B69" s="136" t="s">
        <v>236</v>
      </c>
      <c r="C69" s="86" t="s">
        <v>234</v>
      </c>
      <c r="D69" s="137" t="s">
        <v>237</v>
      </c>
      <c r="E69" s="127">
        <v>0</v>
      </c>
      <c r="F69" s="71"/>
      <c r="G69" s="93">
        <v>0</v>
      </c>
      <c r="H69" s="70"/>
      <c r="I69" s="72">
        <f t="shared" si="45"/>
        <v>0</v>
      </c>
      <c r="J69" s="72">
        <f t="shared" si="46"/>
        <v>0</v>
      </c>
      <c r="K69" s="73">
        <v>0</v>
      </c>
      <c r="L69" s="82">
        <v>1501.37</v>
      </c>
      <c r="M69" s="81"/>
      <c r="N69" s="88"/>
      <c r="O69" s="77">
        <f t="shared" ref="O69:Q69" si="269">AA69+AD69+AG69+AJ69+AM69+AP69+AS69+AV69+AY69+BB69+BE69+BH69</f>
        <v>0</v>
      </c>
      <c r="P69" s="77">
        <f t="shared" si="269"/>
        <v>0</v>
      </c>
      <c r="Q69" s="77">
        <f t="shared" si="269"/>
        <v>0</v>
      </c>
      <c r="R69" s="77">
        <f t="shared" ref="R69:T69" si="270">IF(BK69=0,SUM(AA69+AD69+AG69+AJ69+AM69+AP69+AS69+AV69+AY69+BB69+BE69+BH69),BK69)</f>
        <v>0</v>
      </c>
      <c r="S69" s="77">
        <f t="shared" si="270"/>
        <v>0</v>
      </c>
      <c r="T69" s="77">
        <f t="shared" si="270"/>
        <v>0</v>
      </c>
      <c r="U69" s="78">
        <f t="shared" si="246"/>
        <v>0</v>
      </c>
      <c r="V69" s="79">
        <f t="shared" si="247"/>
        <v>1501.37</v>
      </c>
      <c r="W69" s="79">
        <f t="shared" si="248"/>
        <v>0</v>
      </c>
      <c r="X69" s="80">
        <f t="shared" ref="X69:Y69" si="271">IF(O69&gt;0,O69/K69,0)</f>
        <v>0</v>
      </c>
      <c r="Y69" s="80">
        <f t="shared" si="271"/>
        <v>0</v>
      </c>
      <c r="Z69" s="80">
        <f t="shared" si="5"/>
        <v>0</v>
      </c>
      <c r="AA69" s="82"/>
      <c r="AB69" s="82"/>
      <c r="AC69" s="81"/>
      <c r="AD69" s="81"/>
      <c r="AE69" s="83"/>
      <c r="AF69" s="83"/>
      <c r="AG69" s="128"/>
      <c r="AH69" s="83"/>
      <c r="AI69" s="81"/>
      <c r="AJ69" s="82"/>
      <c r="AK69" s="81"/>
      <c r="AL69" s="81"/>
      <c r="AM69" s="82"/>
      <c r="AN69" s="81"/>
      <c r="AO69" s="81"/>
      <c r="AP69" s="82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2">
        <v>0</v>
      </c>
      <c r="BL69" s="82">
        <v>0</v>
      </c>
      <c r="BM69" s="82">
        <v>0</v>
      </c>
      <c r="BN69" s="133">
        <f t="shared" si="250"/>
        <v>0</v>
      </c>
      <c r="BO69" s="75">
        <f t="shared" si="251"/>
        <v>0</v>
      </c>
      <c r="BP69" s="81">
        <f t="shared" si="252"/>
        <v>0</v>
      </c>
      <c r="BQ69" s="81">
        <f t="shared" si="253"/>
        <v>0</v>
      </c>
      <c r="BR69" s="81">
        <f t="shared" si="254"/>
        <v>0</v>
      </c>
      <c r="BS69" s="81">
        <f t="shared" si="255"/>
        <v>0</v>
      </c>
      <c r="BT69" s="138">
        <f t="shared" si="256"/>
        <v>1501.37</v>
      </c>
      <c r="BU69" s="81">
        <f t="shared" si="257"/>
        <v>0</v>
      </c>
      <c r="BV69" s="81">
        <f t="shared" si="258"/>
        <v>0</v>
      </c>
      <c r="BW69" s="81">
        <f t="shared" si="259"/>
        <v>1501.37</v>
      </c>
      <c r="BX69" s="1"/>
      <c r="BY69" s="1"/>
      <c r="BZ69" s="1"/>
      <c r="CA69" s="1"/>
      <c r="CB69" s="1"/>
      <c r="CC69" s="1"/>
      <c r="CD69" s="1"/>
      <c r="CE69" s="1"/>
      <c r="CF69" s="1"/>
      <c r="CG69" s="1"/>
    </row>
    <row r="70" spans="1:85" ht="15.75" customHeight="1">
      <c r="A70" s="134"/>
      <c r="B70" s="136" t="s">
        <v>238</v>
      </c>
      <c r="C70" s="86" t="s">
        <v>234</v>
      </c>
      <c r="D70" s="139" t="s">
        <v>239</v>
      </c>
      <c r="E70" s="127">
        <v>0</v>
      </c>
      <c r="F70" s="71"/>
      <c r="G70" s="93">
        <v>0</v>
      </c>
      <c r="H70" s="70"/>
      <c r="I70" s="72">
        <f t="shared" si="45"/>
        <v>0</v>
      </c>
      <c r="J70" s="72">
        <f t="shared" si="46"/>
        <v>0</v>
      </c>
      <c r="K70" s="73">
        <v>0</v>
      </c>
      <c r="L70" s="82">
        <v>33583.78</v>
      </c>
      <c r="M70" s="81"/>
      <c r="N70" s="88"/>
      <c r="O70" s="77">
        <f t="shared" ref="O70:Q70" si="272">AA70+AD70+AG70+AJ70+AM70+AP70+AS70+AV70+AY70+BB70+BE70+BH70</f>
        <v>0</v>
      </c>
      <c r="P70" s="77">
        <f t="shared" si="272"/>
        <v>0</v>
      </c>
      <c r="Q70" s="77">
        <f t="shared" si="272"/>
        <v>0</v>
      </c>
      <c r="R70" s="77">
        <f t="shared" ref="R70:T70" si="273">IF(BK70=0,SUM(AA70+AD70+AG70+AJ70+AM70+AP70+AS70+AV70+AY70+BB70+BE70+BH70),BK70)</f>
        <v>0</v>
      </c>
      <c r="S70" s="77">
        <f t="shared" si="273"/>
        <v>0</v>
      </c>
      <c r="T70" s="77">
        <f t="shared" si="273"/>
        <v>0</v>
      </c>
      <c r="U70" s="78">
        <f t="shared" si="246"/>
        <v>0</v>
      </c>
      <c r="V70" s="79">
        <f t="shared" si="247"/>
        <v>33583.78</v>
      </c>
      <c r="W70" s="79">
        <f t="shared" si="248"/>
        <v>0</v>
      </c>
      <c r="X70" s="80">
        <f t="shared" ref="X70:Y70" si="274">IF(O70&gt;0,O70/K70,0)</f>
        <v>0</v>
      </c>
      <c r="Y70" s="80">
        <f t="shared" si="274"/>
        <v>0</v>
      </c>
      <c r="Z70" s="80">
        <f t="shared" si="5"/>
        <v>0</v>
      </c>
      <c r="AA70" s="82"/>
      <c r="AB70" s="82"/>
      <c r="AC70" s="81"/>
      <c r="AD70" s="81"/>
      <c r="AE70" s="83"/>
      <c r="AF70" s="83"/>
      <c r="AG70" s="128"/>
      <c r="AH70" s="83"/>
      <c r="AI70" s="81"/>
      <c r="AJ70" s="82"/>
      <c r="AK70" s="81"/>
      <c r="AL70" s="81"/>
      <c r="AM70" s="82"/>
      <c r="AN70" s="81"/>
      <c r="AO70" s="81"/>
      <c r="AP70" s="82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/>
      <c r="BH70" s="81"/>
      <c r="BI70" s="81"/>
      <c r="BJ70" s="81"/>
      <c r="BK70" s="82">
        <v>0</v>
      </c>
      <c r="BL70" s="82">
        <v>0</v>
      </c>
      <c r="BM70" s="82">
        <v>0</v>
      </c>
      <c r="BN70" s="133">
        <f t="shared" si="250"/>
        <v>0</v>
      </c>
      <c r="BO70" s="75">
        <f t="shared" si="251"/>
        <v>0</v>
      </c>
      <c r="BP70" s="81">
        <f t="shared" si="252"/>
        <v>0</v>
      </c>
      <c r="BQ70" s="81">
        <f t="shared" si="253"/>
        <v>0</v>
      </c>
      <c r="BR70" s="81">
        <f t="shared" si="254"/>
        <v>0</v>
      </c>
      <c r="BS70" s="81">
        <f t="shared" si="255"/>
        <v>0</v>
      </c>
      <c r="BT70" s="138">
        <f t="shared" si="256"/>
        <v>33583.78</v>
      </c>
      <c r="BU70" s="81">
        <f t="shared" si="257"/>
        <v>0</v>
      </c>
      <c r="BV70" s="81">
        <f t="shared" si="258"/>
        <v>0</v>
      </c>
      <c r="BW70" s="81">
        <f t="shared" si="259"/>
        <v>33583.78</v>
      </c>
      <c r="BX70" s="1"/>
      <c r="BY70" s="1"/>
      <c r="BZ70" s="1"/>
      <c r="CA70" s="1"/>
      <c r="CB70" s="1"/>
      <c r="CC70" s="1"/>
      <c r="CD70" s="1"/>
      <c r="CE70" s="1"/>
      <c r="CF70" s="1"/>
      <c r="CG70" s="1"/>
    </row>
    <row r="71" spans="1:85" ht="15.75" customHeight="1">
      <c r="A71" s="134"/>
      <c r="B71" s="136" t="s">
        <v>240</v>
      </c>
      <c r="C71" s="86" t="s">
        <v>234</v>
      </c>
      <c r="D71" s="139" t="s">
        <v>241</v>
      </c>
      <c r="E71" s="127">
        <v>0</v>
      </c>
      <c r="F71" s="71"/>
      <c r="G71" s="93">
        <v>0</v>
      </c>
      <c r="H71" s="70"/>
      <c r="I71" s="72">
        <f t="shared" si="45"/>
        <v>0</v>
      </c>
      <c r="J71" s="72">
        <f t="shared" si="46"/>
        <v>0</v>
      </c>
      <c r="K71" s="73">
        <v>0</v>
      </c>
      <c r="L71" s="82">
        <v>7178.8</v>
      </c>
      <c r="M71" s="81"/>
      <c r="N71" s="88"/>
      <c r="O71" s="77">
        <f t="shared" ref="O71:Q71" si="275">AA71+AD71+AG71+AJ71+AM71+AP71+AS71+AV71+AY71+BB71+BE71+BH71</f>
        <v>0</v>
      </c>
      <c r="P71" s="77">
        <f t="shared" si="275"/>
        <v>0</v>
      </c>
      <c r="Q71" s="77">
        <f t="shared" si="275"/>
        <v>0</v>
      </c>
      <c r="R71" s="77">
        <f t="shared" ref="R71:T71" si="276">IF(BK71=0,SUM(AA71+AD71+AG71+AJ71+AM71+AP71+AS71+AV71+AY71+BB71+BE71+BH71),BK71)</f>
        <v>0</v>
      </c>
      <c r="S71" s="77">
        <f t="shared" si="276"/>
        <v>0</v>
      </c>
      <c r="T71" s="77">
        <f t="shared" si="276"/>
        <v>0</v>
      </c>
      <c r="U71" s="78">
        <f t="shared" si="246"/>
        <v>0</v>
      </c>
      <c r="V71" s="79">
        <f t="shared" si="247"/>
        <v>7178.8</v>
      </c>
      <c r="W71" s="79">
        <f t="shared" si="248"/>
        <v>0</v>
      </c>
      <c r="X71" s="80">
        <f t="shared" ref="X71:Y71" si="277">IF(O71&gt;0,O71/K71,0)</f>
        <v>0</v>
      </c>
      <c r="Y71" s="80">
        <f t="shared" si="277"/>
        <v>0</v>
      </c>
      <c r="Z71" s="80">
        <f t="shared" si="5"/>
        <v>0</v>
      </c>
      <c r="AA71" s="82"/>
      <c r="AB71" s="82"/>
      <c r="AC71" s="81"/>
      <c r="AD71" s="81"/>
      <c r="AE71" s="83"/>
      <c r="AF71" s="83"/>
      <c r="AG71" s="128"/>
      <c r="AH71" s="83"/>
      <c r="AI71" s="81"/>
      <c r="AJ71" s="82"/>
      <c r="AK71" s="81"/>
      <c r="AL71" s="81"/>
      <c r="AM71" s="82"/>
      <c r="AN71" s="81"/>
      <c r="AO71" s="81"/>
      <c r="AP71" s="82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2">
        <v>0</v>
      </c>
      <c r="BL71" s="82">
        <v>0</v>
      </c>
      <c r="BM71" s="82">
        <v>0</v>
      </c>
      <c r="BN71" s="133">
        <f t="shared" si="250"/>
        <v>0</v>
      </c>
      <c r="BO71" s="75">
        <f t="shared" si="251"/>
        <v>0</v>
      </c>
      <c r="BP71" s="81">
        <f t="shared" si="252"/>
        <v>0</v>
      </c>
      <c r="BQ71" s="81">
        <f t="shared" si="253"/>
        <v>0</v>
      </c>
      <c r="BR71" s="81">
        <f t="shared" si="254"/>
        <v>0</v>
      </c>
      <c r="BS71" s="81">
        <f t="shared" si="255"/>
        <v>0</v>
      </c>
      <c r="BT71" s="138">
        <f t="shared" si="256"/>
        <v>7178.8</v>
      </c>
      <c r="BU71" s="81">
        <f t="shared" si="257"/>
        <v>0</v>
      </c>
      <c r="BV71" s="81">
        <f t="shared" si="258"/>
        <v>0</v>
      </c>
      <c r="BW71" s="81">
        <f t="shared" si="259"/>
        <v>7178.8</v>
      </c>
      <c r="BX71" s="1"/>
      <c r="BY71" s="1"/>
      <c r="BZ71" s="1"/>
      <c r="CA71" s="1"/>
      <c r="CB71" s="1"/>
      <c r="CC71" s="1"/>
      <c r="CD71" s="1"/>
      <c r="CE71" s="1"/>
      <c r="CF71" s="1"/>
      <c r="CG71" s="1"/>
    </row>
    <row r="72" spans="1:85" ht="15.75" customHeight="1">
      <c r="A72" s="134"/>
      <c r="B72" s="136" t="s">
        <v>233</v>
      </c>
      <c r="C72" s="86" t="s">
        <v>234</v>
      </c>
      <c r="D72" s="139" t="s">
        <v>242</v>
      </c>
      <c r="E72" s="127">
        <v>0</v>
      </c>
      <c r="F72" s="71"/>
      <c r="G72" s="93">
        <v>0</v>
      </c>
      <c r="H72" s="70"/>
      <c r="I72" s="72">
        <f t="shared" si="45"/>
        <v>0</v>
      </c>
      <c r="J72" s="72">
        <f t="shared" si="46"/>
        <v>0</v>
      </c>
      <c r="K72" s="73">
        <v>0</v>
      </c>
      <c r="L72" s="82">
        <v>35845.83</v>
      </c>
      <c r="M72" s="81"/>
      <c r="N72" s="88"/>
      <c r="O72" s="77">
        <f t="shared" ref="O72:Q72" si="278">AA72+AD72+AG72+AJ72+AM72+AP72+AS72+AV72+AY72+BB72+BE72+BH72</f>
        <v>0</v>
      </c>
      <c r="P72" s="77">
        <f t="shared" si="278"/>
        <v>0</v>
      </c>
      <c r="Q72" s="77">
        <f t="shared" si="278"/>
        <v>0</v>
      </c>
      <c r="R72" s="77">
        <f t="shared" ref="R72:T72" si="279">IF(BK72=0,SUM(AA72+AD72+AG72+AJ72+AM72+AP72+AS72+AV72+AY72+BB72+BE72+BH72),BK72)</f>
        <v>0</v>
      </c>
      <c r="S72" s="77">
        <f t="shared" si="279"/>
        <v>0</v>
      </c>
      <c r="T72" s="77">
        <f t="shared" si="279"/>
        <v>0</v>
      </c>
      <c r="U72" s="78">
        <f t="shared" si="246"/>
        <v>0</v>
      </c>
      <c r="V72" s="79">
        <f t="shared" si="247"/>
        <v>35845.83</v>
      </c>
      <c r="W72" s="79">
        <f t="shared" si="248"/>
        <v>0</v>
      </c>
      <c r="X72" s="80">
        <f t="shared" ref="X72:Y72" si="280">IF(O72&gt;0,O72/K72,0)</f>
        <v>0</v>
      </c>
      <c r="Y72" s="80">
        <f t="shared" si="280"/>
        <v>0</v>
      </c>
      <c r="Z72" s="80">
        <f t="shared" si="5"/>
        <v>0</v>
      </c>
      <c r="AA72" s="82"/>
      <c r="AB72" s="82"/>
      <c r="AC72" s="81"/>
      <c r="AD72" s="81"/>
      <c r="AE72" s="83"/>
      <c r="AF72" s="83"/>
      <c r="AG72" s="128"/>
      <c r="AH72" s="83"/>
      <c r="AI72" s="81"/>
      <c r="AJ72" s="82"/>
      <c r="AK72" s="81"/>
      <c r="AL72" s="81"/>
      <c r="AM72" s="82"/>
      <c r="AN72" s="81"/>
      <c r="AO72" s="81"/>
      <c r="AP72" s="82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  <c r="BJ72" s="81"/>
      <c r="BK72" s="82">
        <v>0</v>
      </c>
      <c r="BL72" s="82">
        <v>0</v>
      </c>
      <c r="BM72" s="82">
        <v>0</v>
      </c>
      <c r="BN72" s="133">
        <f t="shared" si="250"/>
        <v>0</v>
      </c>
      <c r="BO72" s="75">
        <f t="shared" si="251"/>
        <v>0</v>
      </c>
      <c r="BP72" s="81">
        <f t="shared" si="252"/>
        <v>0</v>
      </c>
      <c r="BQ72" s="81">
        <f t="shared" si="253"/>
        <v>0</v>
      </c>
      <c r="BR72" s="81">
        <f t="shared" si="254"/>
        <v>0</v>
      </c>
      <c r="BS72" s="81">
        <f t="shared" si="255"/>
        <v>0</v>
      </c>
      <c r="BT72" s="138">
        <f t="shared" si="256"/>
        <v>35845.83</v>
      </c>
      <c r="BU72" s="81">
        <f t="shared" si="257"/>
        <v>0</v>
      </c>
      <c r="BV72" s="81">
        <f t="shared" si="258"/>
        <v>0</v>
      </c>
      <c r="BW72" s="81">
        <f t="shared" si="259"/>
        <v>35845.83</v>
      </c>
      <c r="BX72" s="1"/>
      <c r="BY72" s="1"/>
      <c r="BZ72" s="1"/>
      <c r="CA72" s="1"/>
      <c r="CB72" s="1"/>
      <c r="CC72" s="1"/>
      <c r="CD72" s="1"/>
      <c r="CE72" s="1"/>
      <c r="CF72" s="1"/>
      <c r="CG72" s="1"/>
    </row>
    <row r="73" spans="1:85" ht="15.75" customHeight="1">
      <c r="A73" s="134"/>
      <c r="B73" s="136" t="s">
        <v>243</v>
      </c>
      <c r="C73" s="86" t="s">
        <v>234</v>
      </c>
      <c r="D73" s="139" t="s">
        <v>244</v>
      </c>
      <c r="E73" s="127">
        <v>0</v>
      </c>
      <c r="F73" s="71"/>
      <c r="G73" s="93">
        <v>0</v>
      </c>
      <c r="H73" s="70"/>
      <c r="I73" s="72">
        <f t="shared" si="45"/>
        <v>0</v>
      </c>
      <c r="J73" s="72">
        <f t="shared" si="46"/>
        <v>0</v>
      </c>
      <c r="K73" s="73">
        <v>0</v>
      </c>
      <c r="L73" s="82">
        <v>28159.14</v>
      </c>
      <c r="M73" s="81"/>
      <c r="N73" s="88"/>
      <c r="O73" s="77">
        <f t="shared" ref="O73:Q73" si="281">AA73+AD73+AG73+AJ73+AM73+AP73+AS73+AV73+AY73+BB73+BE73+BH73</f>
        <v>0</v>
      </c>
      <c r="P73" s="77">
        <f t="shared" si="281"/>
        <v>0</v>
      </c>
      <c r="Q73" s="77">
        <f t="shared" si="281"/>
        <v>0</v>
      </c>
      <c r="R73" s="77">
        <f t="shared" ref="R73:T73" si="282">IF(BK73=0,SUM(AA73+AD73+AG73+AJ73+AM73+AP73+AS73+AV73+AY73+BB73+BE73+BH73),BK73)</f>
        <v>0</v>
      </c>
      <c r="S73" s="77">
        <f t="shared" si="282"/>
        <v>0</v>
      </c>
      <c r="T73" s="77">
        <f t="shared" si="282"/>
        <v>0</v>
      </c>
      <c r="U73" s="78">
        <f t="shared" si="246"/>
        <v>0</v>
      </c>
      <c r="V73" s="79">
        <f t="shared" si="247"/>
        <v>28159.14</v>
      </c>
      <c r="W73" s="79">
        <f t="shared" si="248"/>
        <v>0</v>
      </c>
      <c r="X73" s="80">
        <f t="shared" ref="X73:Y73" si="283">IF(O73&gt;0,O73/K73,0)</f>
        <v>0</v>
      </c>
      <c r="Y73" s="80">
        <f t="shared" si="283"/>
        <v>0</v>
      </c>
      <c r="Z73" s="80">
        <f t="shared" si="5"/>
        <v>0</v>
      </c>
      <c r="AA73" s="82"/>
      <c r="AB73" s="82"/>
      <c r="AC73" s="81"/>
      <c r="AD73" s="81"/>
      <c r="AE73" s="83"/>
      <c r="AF73" s="83"/>
      <c r="AG73" s="128"/>
      <c r="AH73" s="83"/>
      <c r="AI73" s="81"/>
      <c r="AJ73" s="82"/>
      <c r="AK73" s="81"/>
      <c r="AL73" s="81"/>
      <c r="AM73" s="82"/>
      <c r="AN73" s="81"/>
      <c r="AO73" s="81"/>
      <c r="AP73" s="82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2">
        <v>0</v>
      </c>
      <c r="BL73" s="82">
        <v>0</v>
      </c>
      <c r="BM73" s="82">
        <v>0</v>
      </c>
      <c r="BN73" s="133">
        <f t="shared" si="250"/>
        <v>0</v>
      </c>
      <c r="BO73" s="75">
        <f t="shared" si="251"/>
        <v>0</v>
      </c>
      <c r="BP73" s="81">
        <f t="shared" si="252"/>
        <v>0</v>
      </c>
      <c r="BQ73" s="81">
        <f t="shared" si="253"/>
        <v>0</v>
      </c>
      <c r="BR73" s="81">
        <f t="shared" si="254"/>
        <v>0</v>
      </c>
      <c r="BS73" s="81">
        <f t="shared" si="255"/>
        <v>0</v>
      </c>
      <c r="BT73" s="138">
        <f t="shared" si="256"/>
        <v>28159.14</v>
      </c>
      <c r="BU73" s="81">
        <f t="shared" si="257"/>
        <v>0</v>
      </c>
      <c r="BV73" s="81">
        <f t="shared" si="258"/>
        <v>0</v>
      </c>
      <c r="BW73" s="81">
        <f t="shared" si="259"/>
        <v>28159.14</v>
      </c>
      <c r="BX73" s="1"/>
      <c r="BY73" s="1"/>
      <c r="BZ73" s="1"/>
      <c r="CA73" s="1"/>
      <c r="CB73" s="1"/>
      <c r="CC73" s="1"/>
      <c r="CD73" s="1"/>
      <c r="CE73" s="1"/>
      <c r="CF73" s="1"/>
      <c r="CG73" s="1"/>
    </row>
    <row r="74" spans="1:85" ht="15.75" customHeight="1">
      <c r="A74" s="140"/>
      <c r="B74" s="141" t="s">
        <v>245</v>
      </c>
      <c r="C74" s="91" t="s">
        <v>246</v>
      </c>
      <c r="D74" s="139" t="s">
        <v>247</v>
      </c>
      <c r="E74" s="127">
        <v>0</v>
      </c>
      <c r="F74" s="71"/>
      <c r="G74" s="71">
        <f t="shared" ref="G74:G75" si="284">E74-F74</f>
        <v>0</v>
      </c>
      <c r="H74" s="70"/>
      <c r="I74" s="72">
        <f t="shared" si="45"/>
        <v>0</v>
      </c>
      <c r="J74" s="72">
        <f t="shared" si="46"/>
        <v>0</v>
      </c>
      <c r="K74" s="73">
        <v>0</v>
      </c>
      <c r="L74" s="82">
        <v>2155.36</v>
      </c>
      <c r="M74" s="81"/>
      <c r="N74" s="88"/>
      <c r="O74" s="77">
        <f t="shared" ref="O74:Q74" si="285">AA74+AD74+AG74+AJ74+AM74+AP74+AS74+AV74+AY74+BB74+BE74+BH74</f>
        <v>0</v>
      </c>
      <c r="P74" s="77">
        <f t="shared" si="285"/>
        <v>0</v>
      </c>
      <c r="Q74" s="77">
        <f t="shared" si="285"/>
        <v>0</v>
      </c>
      <c r="R74" s="77">
        <f t="shared" ref="R74:T74" si="286">IF(BK74=0,SUM(AA74+AD74+AG74+AJ74+AM74+AP74+AS74+AV74+AY74+BB74+BE74+BH74),BK74)</f>
        <v>0</v>
      </c>
      <c r="S74" s="77">
        <f t="shared" si="286"/>
        <v>0</v>
      </c>
      <c r="T74" s="77">
        <f t="shared" si="286"/>
        <v>0</v>
      </c>
      <c r="U74" s="78">
        <f t="shared" si="246"/>
        <v>0</v>
      </c>
      <c r="V74" s="79">
        <f t="shared" si="247"/>
        <v>2155.36</v>
      </c>
      <c r="W74" s="79">
        <f t="shared" si="248"/>
        <v>0</v>
      </c>
      <c r="X74" s="80">
        <f t="shared" ref="X74:Y74" si="287">IF(O74&gt;0,O74/K74,0)</f>
        <v>0</v>
      </c>
      <c r="Y74" s="80">
        <f t="shared" si="287"/>
        <v>0</v>
      </c>
      <c r="Z74" s="80">
        <f t="shared" si="5"/>
        <v>0</v>
      </c>
      <c r="AA74" s="81"/>
      <c r="AB74" s="82"/>
      <c r="AC74" s="81"/>
      <c r="AD74" s="81"/>
      <c r="AE74" s="128"/>
      <c r="AF74" s="83"/>
      <c r="AG74" s="83"/>
      <c r="AH74" s="83"/>
      <c r="AI74" s="81"/>
      <c r="AJ74" s="81"/>
      <c r="AK74" s="81"/>
      <c r="AL74" s="81"/>
      <c r="AM74" s="82"/>
      <c r="AN74" s="81"/>
      <c r="AO74" s="81"/>
      <c r="AP74" s="81"/>
      <c r="AQ74" s="81"/>
      <c r="AR74" s="81"/>
      <c r="AS74" s="82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2">
        <v>0</v>
      </c>
      <c r="BL74" s="82">
        <v>0</v>
      </c>
      <c r="BM74" s="82">
        <v>0</v>
      </c>
      <c r="BN74" s="133">
        <f t="shared" si="250"/>
        <v>0</v>
      </c>
      <c r="BO74" s="75">
        <f t="shared" si="251"/>
        <v>0</v>
      </c>
      <c r="BP74" s="81">
        <f t="shared" si="252"/>
        <v>0</v>
      </c>
      <c r="BQ74" s="81">
        <f t="shared" si="253"/>
        <v>0</v>
      </c>
      <c r="BR74" s="81">
        <f t="shared" si="254"/>
        <v>0</v>
      </c>
      <c r="BS74" s="81">
        <f t="shared" si="255"/>
        <v>0</v>
      </c>
      <c r="BT74" s="138">
        <f t="shared" si="256"/>
        <v>2155.36</v>
      </c>
      <c r="BU74" s="81">
        <f t="shared" si="257"/>
        <v>0</v>
      </c>
      <c r="BV74" s="81">
        <f t="shared" si="258"/>
        <v>0</v>
      </c>
      <c r="BW74" s="81">
        <f t="shared" si="259"/>
        <v>2155.36</v>
      </c>
      <c r="BX74" s="1"/>
      <c r="BY74" s="1"/>
      <c r="BZ74" s="1"/>
      <c r="CA74" s="1"/>
      <c r="CB74" s="1"/>
      <c r="CC74" s="1"/>
      <c r="CD74" s="1"/>
      <c r="CE74" s="1"/>
      <c r="CF74" s="1"/>
      <c r="CG74" s="1"/>
    </row>
    <row r="75" spans="1:85" ht="15.75" customHeight="1">
      <c r="A75" s="140" t="s">
        <v>248</v>
      </c>
      <c r="B75" s="142" t="s">
        <v>249</v>
      </c>
      <c r="C75" s="91" t="s">
        <v>246</v>
      </c>
      <c r="D75" s="143" t="s">
        <v>250</v>
      </c>
      <c r="E75" s="70">
        <v>260000</v>
      </c>
      <c r="F75" s="71"/>
      <c r="G75" s="71">
        <f t="shared" si="284"/>
        <v>260000</v>
      </c>
      <c r="H75" s="70"/>
      <c r="I75" s="72">
        <f t="shared" si="45"/>
        <v>1.4847523461538461</v>
      </c>
      <c r="J75" s="72">
        <f t="shared" si="46"/>
        <v>1.4847523461538461</v>
      </c>
      <c r="K75" s="73">
        <f>348295.05+47948.4-7502.52-2705.32</f>
        <v>386035.61</v>
      </c>
      <c r="L75" s="81">
        <v>38699.449999999997</v>
      </c>
      <c r="M75" s="81"/>
      <c r="N75" s="88"/>
      <c r="O75" s="77">
        <f t="shared" ref="O75:Q75" si="288">AA75+AD75+AG75+AJ75+AM75+AP75+AS75+AV75+AY75+BB75+BE75+BH75</f>
        <v>386035.61</v>
      </c>
      <c r="P75" s="77">
        <f t="shared" si="288"/>
        <v>38699.450000000004</v>
      </c>
      <c r="Q75" s="77">
        <f t="shared" si="288"/>
        <v>0</v>
      </c>
      <c r="R75" s="77">
        <f t="shared" ref="R75:T75" si="289">IF(BK75=0,SUM(AA75+AD75+AG75+AJ75+AM75+AP75+AS75+AV75+AY75+BB75+BE75+BH75),BK75)</f>
        <v>376940.25</v>
      </c>
      <c r="S75" s="77">
        <f t="shared" si="289"/>
        <v>38699.449999999997</v>
      </c>
      <c r="T75" s="77">
        <f t="shared" si="289"/>
        <v>0</v>
      </c>
      <c r="U75" s="78">
        <f t="shared" si="246"/>
        <v>0</v>
      </c>
      <c r="V75" s="79">
        <f t="shared" si="247"/>
        <v>0</v>
      </c>
      <c r="W75" s="79">
        <f t="shared" si="248"/>
        <v>0</v>
      </c>
      <c r="X75" s="80">
        <f t="shared" ref="X75:Y75" si="290">IF(O75&gt;0,O75/K75,0)</f>
        <v>1</v>
      </c>
      <c r="Y75" s="80">
        <f t="shared" si="290"/>
        <v>1.0000000000000002</v>
      </c>
      <c r="Z75" s="80">
        <f t="shared" si="5"/>
        <v>0</v>
      </c>
      <c r="AA75" s="81"/>
      <c r="AB75" s="82">
        <v>36042.720000000001</v>
      </c>
      <c r="AC75" s="81"/>
      <c r="AD75" s="81"/>
      <c r="AE75" s="128">
        <v>2656.73</v>
      </c>
      <c r="AF75" s="83"/>
      <c r="AG75" s="83"/>
      <c r="AH75" s="83"/>
      <c r="AI75" s="81"/>
      <c r="AJ75" s="81"/>
      <c r="AK75" s="81"/>
      <c r="AL75" s="81"/>
      <c r="AM75" s="82">
        <v>38468.43</v>
      </c>
      <c r="AN75" s="81"/>
      <c r="AO75" s="81"/>
      <c r="AP75" s="81">
        <f>37872.81-37872.81+37757.28</f>
        <v>37757.279999999999</v>
      </c>
      <c r="AQ75" s="81"/>
      <c r="AR75" s="81"/>
      <c r="AS75" s="82">
        <v>19978.5</v>
      </c>
      <c r="AT75" s="81"/>
      <c r="AU75" s="81"/>
      <c r="AV75" s="81">
        <f>42695.15-143.79+41950.68</f>
        <v>84502.040000000008</v>
      </c>
      <c r="AW75" s="81"/>
      <c r="AX75" s="81"/>
      <c r="AY75" s="81">
        <f>42695.15+2121.6</f>
        <v>44816.75</v>
      </c>
      <c r="AZ75" s="81"/>
      <c r="BA75" s="81"/>
      <c r="BB75" s="81">
        <f>37254.08</f>
        <v>37254.080000000002</v>
      </c>
      <c r="BC75" s="81"/>
      <c r="BD75" s="81"/>
      <c r="BE75" s="81">
        <f>42695.15-2121.6</f>
        <v>40573.550000000003</v>
      </c>
      <c r="BF75" s="81"/>
      <c r="BG75" s="81"/>
      <c r="BH75" s="81">
        <f>42695.15+39989.83</f>
        <v>82684.98000000001</v>
      </c>
      <c r="BI75" s="81"/>
      <c r="BJ75" s="81"/>
      <c r="BK75" s="81">
        <f>386035.61-9095.36</f>
        <v>376940.25</v>
      </c>
      <c r="BL75" s="82">
        <v>38699.449999999997</v>
      </c>
      <c r="BM75" s="82">
        <v>0</v>
      </c>
      <c r="BN75" s="133">
        <f t="shared" si="250"/>
        <v>9095.359999999986</v>
      </c>
      <c r="BO75" s="75">
        <f t="shared" si="251"/>
        <v>0</v>
      </c>
      <c r="BP75" s="81">
        <f t="shared" si="252"/>
        <v>9095.359999999986</v>
      </c>
      <c r="BQ75" s="81">
        <f t="shared" si="253"/>
        <v>0</v>
      </c>
      <c r="BR75" s="81">
        <f t="shared" si="254"/>
        <v>0</v>
      </c>
      <c r="BS75" s="81">
        <f t="shared" si="255"/>
        <v>0</v>
      </c>
      <c r="BT75" s="81">
        <f t="shared" si="256"/>
        <v>0</v>
      </c>
      <c r="BU75" s="81">
        <f t="shared" si="257"/>
        <v>9095.359999999986</v>
      </c>
      <c r="BV75" s="81">
        <f t="shared" si="258"/>
        <v>0</v>
      </c>
      <c r="BW75" s="81">
        <f t="shared" si="259"/>
        <v>9095.359999999986</v>
      </c>
      <c r="BX75" s="1"/>
      <c r="BY75" s="1"/>
      <c r="BZ75" s="1"/>
      <c r="CA75" s="1"/>
      <c r="CB75" s="1"/>
      <c r="CC75" s="1"/>
      <c r="CD75" s="1"/>
      <c r="CE75" s="1"/>
      <c r="CF75" s="1"/>
      <c r="CG75" s="1"/>
    </row>
    <row r="76" spans="1:85" ht="15.75">
      <c r="A76" s="109"/>
      <c r="B76" s="110"/>
      <c r="C76" s="111"/>
      <c r="D76" s="112" t="s">
        <v>251</v>
      </c>
      <c r="E76" s="58">
        <f t="shared" ref="E76:H76" si="291">SUM(E77:E103)</f>
        <v>263000</v>
      </c>
      <c r="F76" s="59">
        <f t="shared" si="291"/>
        <v>0</v>
      </c>
      <c r="G76" s="59">
        <f t="shared" si="291"/>
        <v>263000</v>
      </c>
      <c r="H76" s="59">
        <f t="shared" si="291"/>
        <v>0</v>
      </c>
      <c r="I76" s="60">
        <f t="shared" si="45"/>
        <v>0.40723718631178707</v>
      </c>
      <c r="J76" s="60">
        <f t="shared" si="46"/>
        <v>0.35651326996197719</v>
      </c>
      <c r="K76" s="59">
        <f t="shared" ref="K76:W76" si="292">SUM(K77:K103)</f>
        <v>107103.38</v>
      </c>
      <c r="L76" s="59">
        <f t="shared" si="292"/>
        <v>519123.9599999999</v>
      </c>
      <c r="M76" s="59">
        <f t="shared" si="292"/>
        <v>3084.0800000000004</v>
      </c>
      <c r="N76" s="59">
        <f t="shared" si="292"/>
        <v>0</v>
      </c>
      <c r="O76" s="59">
        <f t="shared" si="292"/>
        <v>93762.99</v>
      </c>
      <c r="P76" s="59">
        <f t="shared" si="292"/>
        <v>468715.48000000004</v>
      </c>
      <c r="Q76" s="59">
        <f t="shared" si="292"/>
        <v>0</v>
      </c>
      <c r="R76" s="59">
        <f t="shared" si="292"/>
        <v>93762.99</v>
      </c>
      <c r="S76" s="59">
        <f t="shared" si="292"/>
        <v>463526.48000000004</v>
      </c>
      <c r="T76" s="59">
        <f t="shared" si="292"/>
        <v>0</v>
      </c>
      <c r="U76" s="59">
        <f t="shared" si="292"/>
        <v>13340.39</v>
      </c>
      <c r="V76" s="59">
        <f t="shared" si="292"/>
        <v>52513.4</v>
      </c>
      <c r="W76" s="59">
        <f t="shared" si="292"/>
        <v>0</v>
      </c>
      <c r="X76" s="63">
        <f t="shared" ref="X76:Y76" si="293">IF(O76&gt;0,O76/K76,0)</f>
        <v>0.87544380018632462</v>
      </c>
      <c r="Y76" s="63">
        <f t="shared" si="293"/>
        <v>0.90289702675253158</v>
      </c>
      <c r="Z76" s="63">
        <f t="shared" si="5"/>
        <v>0</v>
      </c>
      <c r="AA76" s="59">
        <f t="shared" ref="AA76:BW76" si="294">SUM(AA77:AA103)</f>
        <v>0</v>
      </c>
      <c r="AB76" s="59">
        <f t="shared" si="294"/>
        <v>75456.91</v>
      </c>
      <c r="AC76" s="59">
        <f t="shared" si="294"/>
        <v>0</v>
      </c>
      <c r="AD76" s="59">
        <f t="shared" si="294"/>
        <v>0</v>
      </c>
      <c r="AE76" s="59">
        <f t="shared" si="294"/>
        <v>71520.350000000006</v>
      </c>
      <c r="AF76" s="59">
        <f t="shared" si="294"/>
        <v>0</v>
      </c>
      <c r="AG76" s="59">
        <f t="shared" si="294"/>
        <v>1390</v>
      </c>
      <c r="AH76" s="59">
        <f t="shared" si="294"/>
        <v>84129.12</v>
      </c>
      <c r="AI76" s="59">
        <f t="shared" si="294"/>
        <v>0</v>
      </c>
      <c r="AJ76" s="59">
        <f t="shared" si="294"/>
        <v>5149.54</v>
      </c>
      <c r="AK76" s="59">
        <f t="shared" si="294"/>
        <v>61810.21</v>
      </c>
      <c r="AL76" s="59">
        <f t="shared" si="294"/>
        <v>0</v>
      </c>
      <c r="AM76" s="59">
        <f t="shared" si="294"/>
        <v>5136.1400000000003</v>
      </c>
      <c r="AN76" s="59">
        <f t="shared" si="294"/>
        <v>71443.699999999983</v>
      </c>
      <c r="AO76" s="59">
        <f t="shared" si="294"/>
        <v>0</v>
      </c>
      <c r="AP76" s="59">
        <f t="shared" si="294"/>
        <v>20604.55</v>
      </c>
      <c r="AQ76" s="59">
        <f t="shared" si="294"/>
        <v>74326.559999999998</v>
      </c>
      <c r="AR76" s="59">
        <f t="shared" si="294"/>
        <v>0</v>
      </c>
      <c r="AS76" s="59">
        <f t="shared" si="294"/>
        <v>0</v>
      </c>
      <c r="AT76" s="59">
        <f t="shared" si="294"/>
        <v>236.39</v>
      </c>
      <c r="AU76" s="59">
        <f t="shared" si="294"/>
        <v>0</v>
      </c>
      <c r="AV76" s="59">
        <f t="shared" si="294"/>
        <v>13741.509999999998</v>
      </c>
      <c r="AW76" s="59">
        <f t="shared" si="294"/>
        <v>7000.0099999999993</v>
      </c>
      <c r="AX76" s="59">
        <f t="shared" si="294"/>
        <v>0</v>
      </c>
      <c r="AY76" s="59">
        <f t="shared" si="294"/>
        <v>3678.44</v>
      </c>
      <c r="AZ76" s="59">
        <f t="shared" si="294"/>
        <v>18323.470000000005</v>
      </c>
      <c r="BA76" s="59">
        <f t="shared" si="294"/>
        <v>0</v>
      </c>
      <c r="BB76" s="59">
        <f t="shared" si="294"/>
        <v>15151.300000000001</v>
      </c>
      <c r="BC76" s="59">
        <f t="shared" si="294"/>
        <v>129.36000000000001</v>
      </c>
      <c r="BD76" s="59">
        <f t="shared" si="294"/>
        <v>0</v>
      </c>
      <c r="BE76" s="59">
        <f t="shared" si="294"/>
        <v>1250.82</v>
      </c>
      <c r="BF76" s="59">
        <f t="shared" si="294"/>
        <v>126.9</v>
      </c>
      <c r="BG76" s="59">
        <f t="shared" si="294"/>
        <v>0</v>
      </c>
      <c r="BH76" s="59">
        <f t="shared" si="294"/>
        <v>27660.690000000002</v>
      </c>
      <c r="BI76" s="59">
        <f t="shared" si="294"/>
        <v>4212.5</v>
      </c>
      <c r="BJ76" s="59">
        <f t="shared" si="294"/>
        <v>0</v>
      </c>
      <c r="BK76" s="59">
        <f t="shared" si="294"/>
        <v>93762.99</v>
      </c>
      <c r="BL76" s="59">
        <f t="shared" si="294"/>
        <v>463526.48000000004</v>
      </c>
      <c r="BM76" s="59">
        <f t="shared" si="294"/>
        <v>0</v>
      </c>
      <c r="BN76" s="59">
        <f t="shared" si="294"/>
        <v>0</v>
      </c>
      <c r="BO76" s="59">
        <f t="shared" si="294"/>
        <v>0</v>
      </c>
      <c r="BP76" s="59">
        <f t="shared" si="294"/>
        <v>0</v>
      </c>
      <c r="BQ76" s="59">
        <f t="shared" si="294"/>
        <v>13340.39</v>
      </c>
      <c r="BR76" s="59">
        <f t="shared" si="294"/>
        <v>0</v>
      </c>
      <c r="BS76" s="59">
        <f t="shared" si="294"/>
        <v>13340.39</v>
      </c>
      <c r="BT76" s="59">
        <f t="shared" si="294"/>
        <v>52513.4</v>
      </c>
      <c r="BU76" s="59">
        <f t="shared" si="294"/>
        <v>0</v>
      </c>
      <c r="BV76" s="59">
        <f t="shared" si="294"/>
        <v>13340.39</v>
      </c>
      <c r="BW76" s="59">
        <f t="shared" si="294"/>
        <v>65853.790000000008</v>
      </c>
      <c r="BX76" s="65"/>
      <c r="BY76" s="65"/>
      <c r="BZ76" s="65"/>
      <c r="CA76" s="65"/>
      <c r="CB76" s="65"/>
      <c r="CC76" s="65"/>
      <c r="CD76" s="65"/>
      <c r="CE76" s="65"/>
      <c r="CF76" s="65"/>
      <c r="CG76" s="65"/>
    </row>
    <row r="77" spans="1:85" ht="15.75" customHeight="1">
      <c r="A77" s="113"/>
      <c r="B77" s="114" t="s">
        <v>252</v>
      </c>
      <c r="C77" s="68" t="s">
        <v>253</v>
      </c>
      <c r="D77" s="144" t="s">
        <v>254</v>
      </c>
      <c r="E77" s="70"/>
      <c r="F77" s="71"/>
      <c r="G77" s="71">
        <f t="shared" ref="G77:G103" si="295">E77-F77</f>
        <v>0</v>
      </c>
      <c r="H77" s="70"/>
      <c r="I77" s="72">
        <f t="shared" si="45"/>
        <v>0</v>
      </c>
      <c r="J77" s="72">
        <f t="shared" si="46"/>
        <v>0</v>
      </c>
      <c r="K77" s="88"/>
      <c r="L77" s="81">
        <v>14495.15</v>
      </c>
      <c r="M77" s="81"/>
      <c r="N77" s="88"/>
      <c r="O77" s="77">
        <f t="shared" ref="O77:Q77" si="296">AA77+AD77+AG77+AJ77+AM77+AP77+AS77+AV77+AY77+BB77+BE77+BH77</f>
        <v>0</v>
      </c>
      <c r="P77" s="77">
        <f t="shared" si="296"/>
        <v>14495.15</v>
      </c>
      <c r="Q77" s="77">
        <f t="shared" si="296"/>
        <v>0</v>
      </c>
      <c r="R77" s="77">
        <f t="shared" ref="R77:T77" si="297">IF(BK77=0,SUM(AA77+AD77+AG77+AJ77+AM77+AP77+AS77+AV77+AY77+BB77+BE77+BH77),BK77)</f>
        <v>0</v>
      </c>
      <c r="S77" s="77">
        <f t="shared" si="297"/>
        <v>14495.15</v>
      </c>
      <c r="T77" s="77">
        <f t="shared" si="297"/>
        <v>0</v>
      </c>
      <c r="U77" s="79">
        <f t="shared" ref="U77:U103" si="298">K77-O77</f>
        <v>0</v>
      </c>
      <c r="V77" s="79">
        <f t="shared" ref="V77:V103" si="299">L77-M77-S77</f>
        <v>0</v>
      </c>
      <c r="W77" s="79">
        <f t="shared" ref="W77:W103" si="300">N77-Q77</f>
        <v>0</v>
      </c>
      <c r="X77" s="80">
        <f t="shared" ref="X77:Y77" si="301">IF(O77&gt;0,O77/K77,0)</f>
        <v>0</v>
      </c>
      <c r="Y77" s="80">
        <f t="shared" si="301"/>
        <v>1</v>
      </c>
      <c r="Z77" s="80">
        <f t="shared" si="5"/>
        <v>0</v>
      </c>
      <c r="AA77" s="81"/>
      <c r="AB77" s="81"/>
      <c r="AC77" s="81"/>
      <c r="AD77" s="81"/>
      <c r="AE77" s="83"/>
      <c r="AF77" s="83"/>
      <c r="AG77" s="83"/>
      <c r="AH77" s="83"/>
      <c r="AI77" s="81"/>
      <c r="AJ77" s="81"/>
      <c r="AK77" s="81"/>
      <c r="AL77" s="81"/>
      <c r="AM77" s="81"/>
      <c r="AN77" s="82">
        <v>3114.1</v>
      </c>
      <c r="AO77" s="81"/>
      <c r="AP77" s="81"/>
      <c r="AQ77" s="82">
        <v>11381.05</v>
      </c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2">
        <v>0</v>
      </c>
      <c r="BL77" s="82">
        <v>14495.15</v>
      </c>
      <c r="BM77" s="82">
        <v>0</v>
      </c>
      <c r="BN77" s="81">
        <f t="shared" ref="BN77:BN103" si="302">IF(O77-BK77&gt;0,O77-BK77,0)</f>
        <v>0</v>
      </c>
      <c r="BO77" s="75">
        <f t="shared" ref="BO77:BO103" si="303">IF(Q77-BM77&gt;0,Q77-BM77,0)</f>
        <v>0</v>
      </c>
      <c r="BP77" s="81">
        <f t="shared" ref="BP77:BP103" si="304">IF(BN77+BO77&gt;0,BN77+BO77,0)</f>
        <v>0</v>
      </c>
      <c r="BQ77" s="81">
        <f t="shared" ref="BQ77:BQ103" si="305">IF(U77=0,0,U77)</f>
        <v>0</v>
      </c>
      <c r="BR77" s="81">
        <f t="shared" ref="BR77:BR103" si="306">IF(W77=0,0,W77)</f>
        <v>0</v>
      </c>
      <c r="BS77" s="81">
        <f t="shared" ref="BS77:BS103" si="307">IF(BQ77+BR77&gt;0,BQ77+BR77,0)</f>
        <v>0</v>
      </c>
      <c r="BT77" s="81">
        <f t="shared" ref="BT77:BT103" si="308">IF(V77&gt;0,V77,0)</f>
        <v>0</v>
      </c>
      <c r="BU77" s="81">
        <f t="shared" ref="BU77:BU103" si="309">IF(BP77=0,0,BP77)</f>
        <v>0</v>
      </c>
      <c r="BV77" s="81">
        <f t="shared" ref="BV77:BV103" si="310">IF(BS77=0,0,BS77)</f>
        <v>0</v>
      </c>
      <c r="BW77" s="81">
        <f t="shared" ref="BW77:BW103" si="311">IF(BP77+BT77+BV77&gt;0,BP77+BT77+BV77,0)</f>
        <v>0</v>
      </c>
      <c r="BX77" s="1"/>
      <c r="BY77" s="1"/>
      <c r="BZ77" s="1"/>
      <c r="CA77" s="1"/>
      <c r="CB77" s="1"/>
      <c r="CC77" s="1"/>
      <c r="CD77" s="1"/>
      <c r="CE77" s="1"/>
      <c r="CF77" s="1"/>
      <c r="CG77" s="1"/>
    </row>
    <row r="78" spans="1:85" ht="15.75" customHeight="1">
      <c r="A78" s="145"/>
      <c r="B78" s="146" t="s">
        <v>255</v>
      </c>
      <c r="C78" s="86" t="s">
        <v>256</v>
      </c>
      <c r="D78" s="87" t="s">
        <v>257</v>
      </c>
      <c r="E78" s="70"/>
      <c r="F78" s="71"/>
      <c r="G78" s="71">
        <f t="shared" si="295"/>
        <v>0</v>
      </c>
      <c r="H78" s="127"/>
      <c r="I78" s="72">
        <f t="shared" si="45"/>
        <v>0</v>
      </c>
      <c r="J78" s="72">
        <f t="shared" si="46"/>
        <v>0</v>
      </c>
      <c r="K78" s="88"/>
      <c r="L78" s="81">
        <v>64450</v>
      </c>
      <c r="M78" s="81"/>
      <c r="N78" s="88"/>
      <c r="O78" s="77">
        <f t="shared" ref="O78:Q78" si="312">AA78+AD78+AG78+AJ78+AM78+AP78+AS78+AV78+AY78+BB78+BE78+BH78</f>
        <v>0</v>
      </c>
      <c r="P78" s="77">
        <f t="shared" si="312"/>
        <v>64450</v>
      </c>
      <c r="Q78" s="77">
        <f t="shared" si="312"/>
        <v>0</v>
      </c>
      <c r="R78" s="77">
        <f t="shared" ref="R78:T78" si="313">IF(BK78=0,SUM(AA78+AD78+AG78+AJ78+AM78+AP78+AS78+AV78+AY78+BB78+BE78+BH78),BK78)</f>
        <v>0</v>
      </c>
      <c r="S78" s="77">
        <f t="shared" si="313"/>
        <v>61933.5</v>
      </c>
      <c r="T78" s="77">
        <f t="shared" si="313"/>
        <v>0</v>
      </c>
      <c r="U78" s="79">
        <f t="shared" si="298"/>
        <v>0</v>
      </c>
      <c r="V78" s="79">
        <f t="shared" si="299"/>
        <v>2516.5</v>
      </c>
      <c r="W78" s="79">
        <f t="shared" si="300"/>
        <v>0</v>
      </c>
      <c r="X78" s="80">
        <f t="shared" ref="X78:Y78" si="314">IF(O78&gt;0,O78/K78,0)</f>
        <v>0</v>
      </c>
      <c r="Y78" s="80">
        <f t="shared" si="314"/>
        <v>1</v>
      </c>
      <c r="Z78" s="80">
        <f t="shared" si="5"/>
        <v>0</v>
      </c>
      <c r="AA78" s="81"/>
      <c r="AB78" s="81"/>
      <c r="AC78" s="81"/>
      <c r="AD78" s="81"/>
      <c r="AE78" s="83"/>
      <c r="AF78" s="83"/>
      <c r="AG78" s="83"/>
      <c r="AH78" s="128">
        <v>64450</v>
      </c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2">
        <v>0</v>
      </c>
      <c r="BL78" s="82">
        <f>64450-2516.5</f>
        <v>61933.5</v>
      </c>
      <c r="BM78" s="82">
        <v>0</v>
      </c>
      <c r="BN78" s="81">
        <f t="shared" si="302"/>
        <v>0</v>
      </c>
      <c r="BO78" s="75">
        <f t="shared" si="303"/>
        <v>0</v>
      </c>
      <c r="BP78" s="81">
        <f t="shared" si="304"/>
        <v>0</v>
      </c>
      <c r="BQ78" s="81">
        <f t="shared" si="305"/>
        <v>0</v>
      </c>
      <c r="BR78" s="81">
        <f t="shared" si="306"/>
        <v>0</v>
      </c>
      <c r="BS78" s="81">
        <f t="shared" si="307"/>
        <v>0</v>
      </c>
      <c r="BT78" s="138">
        <f t="shared" si="308"/>
        <v>2516.5</v>
      </c>
      <c r="BU78" s="81">
        <f t="shared" si="309"/>
        <v>0</v>
      </c>
      <c r="BV78" s="81">
        <f t="shared" si="310"/>
        <v>0</v>
      </c>
      <c r="BW78" s="81">
        <f t="shared" si="311"/>
        <v>2516.5</v>
      </c>
      <c r="BX78" s="1"/>
      <c r="BY78" s="1"/>
      <c r="BZ78" s="1"/>
      <c r="CA78" s="1"/>
      <c r="CB78" s="1"/>
      <c r="CC78" s="1"/>
      <c r="CD78" s="1"/>
      <c r="CE78" s="1"/>
      <c r="CF78" s="1"/>
      <c r="CG78" s="1"/>
    </row>
    <row r="79" spans="1:85" ht="15.75" customHeight="1">
      <c r="A79" s="113"/>
      <c r="B79" s="85"/>
      <c r="C79" s="86" t="s">
        <v>256</v>
      </c>
      <c r="D79" s="87" t="s">
        <v>258</v>
      </c>
      <c r="E79" s="70"/>
      <c r="F79" s="71"/>
      <c r="G79" s="71">
        <f t="shared" si="295"/>
        <v>0</v>
      </c>
      <c r="H79" s="127"/>
      <c r="I79" s="72">
        <f t="shared" si="45"/>
        <v>0</v>
      </c>
      <c r="J79" s="72">
        <f t="shared" si="46"/>
        <v>0</v>
      </c>
      <c r="K79" s="88"/>
      <c r="L79" s="81"/>
      <c r="M79" s="81"/>
      <c r="N79" s="88"/>
      <c r="O79" s="77">
        <f t="shared" ref="O79:Q79" si="315">AA79+AD79+AG79+AJ79+AM79+AP79+AS79+AV79+AY79+BB79+BE79+BH79</f>
        <v>0</v>
      </c>
      <c r="P79" s="77">
        <f t="shared" si="315"/>
        <v>0</v>
      </c>
      <c r="Q79" s="77">
        <f t="shared" si="315"/>
        <v>0</v>
      </c>
      <c r="R79" s="77">
        <f t="shared" ref="R79:T79" si="316">IF(BK79=0,SUM(AA79+AD79+AG79+AJ79+AM79+AP79+AS79+AV79+AY79+BB79+BE79+BH79),BK79)</f>
        <v>0</v>
      </c>
      <c r="S79" s="77">
        <f t="shared" si="316"/>
        <v>0</v>
      </c>
      <c r="T79" s="77">
        <f t="shared" si="316"/>
        <v>0</v>
      </c>
      <c r="U79" s="79">
        <f t="shared" si="298"/>
        <v>0</v>
      </c>
      <c r="V79" s="79">
        <f t="shared" si="299"/>
        <v>0</v>
      </c>
      <c r="W79" s="79">
        <f t="shared" si="300"/>
        <v>0</v>
      </c>
      <c r="X79" s="80">
        <f t="shared" ref="X79:Y79" si="317">IF(O79&gt;0,O79/K79,0)</f>
        <v>0</v>
      </c>
      <c r="Y79" s="80">
        <f t="shared" si="317"/>
        <v>0</v>
      </c>
      <c r="Z79" s="80">
        <f t="shared" si="5"/>
        <v>0</v>
      </c>
      <c r="AA79" s="81"/>
      <c r="AB79" s="81"/>
      <c r="AC79" s="81"/>
      <c r="AD79" s="81"/>
      <c r="AE79" s="83"/>
      <c r="AF79" s="83"/>
      <c r="AG79" s="83"/>
      <c r="AH79" s="83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2">
        <v>0</v>
      </c>
      <c r="BL79" s="82">
        <v>0</v>
      </c>
      <c r="BM79" s="82">
        <v>0</v>
      </c>
      <c r="BN79" s="81">
        <f t="shared" si="302"/>
        <v>0</v>
      </c>
      <c r="BO79" s="75">
        <f t="shared" si="303"/>
        <v>0</v>
      </c>
      <c r="BP79" s="81">
        <f t="shared" si="304"/>
        <v>0</v>
      </c>
      <c r="BQ79" s="81">
        <f t="shared" si="305"/>
        <v>0</v>
      </c>
      <c r="BR79" s="81">
        <f t="shared" si="306"/>
        <v>0</v>
      </c>
      <c r="BS79" s="81">
        <f t="shared" si="307"/>
        <v>0</v>
      </c>
      <c r="BT79" s="81">
        <f t="shared" si="308"/>
        <v>0</v>
      </c>
      <c r="BU79" s="81">
        <f t="shared" si="309"/>
        <v>0</v>
      </c>
      <c r="BV79" s="81">
        <f t="shared" si="310"/>
        <v>0</v>
      </c>
      <c r="BW79" s="81">
        <f t="shared" si="311"/>
        <v>0</v>
      </c>
      <c r="BX79" s="1"/>
      <c r="BY79" s="1"/>
      <c r="BZ79" s="1"/>
      <c r="CA79" s="1"/>
      <c r="CB79" s="1"/>
      <c r="CC79" s="1"/>
      <c r="CD79" s="1"/>
      <c r="CE79" s="1"/>
      <c r="CF79" s="1"/>
      <c r="CG79" s="1"/>
    </row>
    <row r="80" spans="1:85" ht="15.75" customHeight="1">
      <c r="A80" s="66" t="s">
        <v>259</v>
      </c>
      <c r="B80" s="85"/>
      <c r="C80" s="86" t="s">
        <v>256</v>
      </c>
      <c r="D80" s="126" t="s">
        <v>260</v>
      </c>
      <c r="E80" s="70"/>
      <c r="F80" s="71"/>
      <c r="G80" s="71">
        <f t="shared" si="295"/>
        <v>0</v>
      </c>
      <c r="H80" s="70"/>
      <c r="I80" s="72">
        <f t="shared" si="45"/>
        <v>0</v>
      </c>
      <c r="J80" s="72">
        <f t="shared" si="46"/>
        <v>0</v>
      </c>
      <c r="K80" s="73">
        <f>79100.77+12400.42-91501.19</f>
        <v>0</v>
      </c>
      <c r="L80" s="81"/>
      <c r="M80" s="81"/>
      <c r="N80" s="88"/>
      <c r="O80" s="77">
        <f t="shared" ref="O80:Q80" si="318">AA80+AD80+AG80+AJ80+AM80+AP80+AS80+AV80+AY80+BB80+BE80+BH80</f>
        <v>0</v>
      </c>
      <c r="P80" s="77">
        <f t="shared" si="318"/>
        <v>0</v>
      </c>
      <c r="Q80" s="77">
        <f t="shared" si="318"/>
        <v>0</v>
      </c>
      <c r="R80" s="77">
        <f t="shared" ref="R80:T80" si="319">IF(BK80=0,SUM(AA80+AD80+AG80+AJ80+AM80+AP80+AS80+AV80+AY80+BB80+BE80+BH80),BK80)</f>
        <v>0</v>
      </c>
      <c r="S80" s="77">
        <f t="shared" si="319"/>
        <v>0</v>
      </c>
      <c r="T80" s="77">
        <f t="shared" si="319"/>
        <v>0</v>
      </c>
      <c r="U80" s="78">
        <f t="shared" si="298"/>
        <v>0</v>
      </c>
      <c r="V80" s="79">
        <f t="shared" si="299"/>
        <v>0</v>
      </c>
      <c r="W80" s="79">
        <f t="shared" si="300"/>
        <v>0</v>
      </c>
      <c r="X80" s="80">
        <f t="shared" ref="X80:Y80" si="320">IF(O80&gt;0,O80/K80,0)</f>
        <v>0</v>
      </c>
      <c r="Y80" s="80">
        <f t="shared" si="320"/>
        <v>0</v>
      </c>
      <c r="Z80" s="80">
        <f t="shared" si="5"/>
        <v>0</v>
      </c>
      <c r="AA80" s="81"/>
      <c r="AB80" s="82"/>
      <c r="AC80" s="81"/>
      <c r="AD80" s="81"/>
      <c r="AE80" s="83"/>
      <c r="AF80" s="83"/>
      <c r="AG80" s="83"/>
      <c r="AH80" s="83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2">
        <v>0</v>
      </c>
      <c r="BL80" s="82">
        <v>0</v>
      </c>
      <c r="BM80" s="82">
        <v>0</v>
      </c>
      <c r="BN80" s="81">
        <f t="shared" si="302"/>
        <v>0</v>
      </c>
      <c r="BO80" s="75">
        <f t="shared" si="303"/>
        <v>0</v>
      </c>
      <c r="BP80" s="81">
        <f t="shared" si="304"/>
        <v>0</v>
      </c>
      <c r="BQ80" s="81">
        <f t="shared" si="305"/>
        <v>0</v>
      </c>
      <c r="BR80" s="81">
        <f t="shared" si="306"/>
        <v>0</v>
      </c>
      <c r="BS80" s="81">
        <f t="shared" si="307"/>
        <v>0</v>
      </c>
      <c r="BT80" s="81">
        <f t="shared" si="308"/>
        <v>0</v>
      </c>
      <c r="BU80" s="81">
        <f t="shared" si="309"/>
        <v>0</v>
      </c>
      <c r="BV80" s="81">
        <f t="shared" si="310"/>
        <v>0</v>
      </c>
      <c r="BW80" s="81">
        <f t="shared" si="311"/>
        <v>0</v>
      </c>
      <c r="BX80" s="1"/>
      <c r="BY80" s="1"/>
      <c r="BZ80" s="1"/>
      <c r="CA80" s="1"/>
      <c r="CB80" s="1"/>
      <c r="CC80" s="1"/>
      <c r="CD80" s="1"/>
      <c r="CE80" s="1"/>
      <c r="CF80" s="1"/>
      <c r="CG80" s="1"/>
    </row>
    <row r="81" spans="1:85" ht="15.75" customHeight="1">
      <c r="A81" s="84"/>
      <c r="B81" s="85" t="s">
        <v>261</v>
      </c>
      <c r="C81" s="86" t="s">
        <v>262</v>
      </c>
      <c r="D81" s="87" t="s">
        <v>263</v>
      </c>
      <c r="E81" s="70"/>
      <c r="F81" s="71"/>
      <c r="G81" s="71">
        <f t="shared" si="295"/>
        <v>0</v>
      </c>
      <c r="H81" s="70"/>
      <c r="I81" s="72">
        <f t="shared" si="45"/>
        <v>0</v>
      </c>
      <c r="J81" s="72">
        <f t="shared" si="46"/>
        <v>0</v>
      </c>
      <c r="K81" s="88"/>
      <c r="L81" s="81">
        <v>101748.22</v>
      </c>
      <c r="M81" s="81"/>
      <c r="N81" s="88"/>
      <c r="O81" s="77">
        <f t="shared" ref="O81:Q81" si="321">AA81+AD81+AG81+AJ81+AM81+AP81+AS81+AV81+AY81+BB81+BE81+BH81</f>
        <v>0</v>
      </c>
      <c r="P81" s="77">
        <f t="shared" si="321"/>
        <v>101748.22</v>
      </c>
      <c r="Q81" s="77">
        <f t="shared" si="321"/>
        <v>0</v>
      </c>
      <c r="R81" s="77">
        <f t="shared" ref="R81:T81" si="322">IF(BK81=0,SUM(AA81+AD81+AG81+AJ81+AM81+AP81+AS81+AV81+AY81+BB81+BE81+BH81),BK81)</f>
        <v>0</v>
      </c>
      <c r="S81" s="77">
        <f t="shared" si="322"/>
        <v>101748.22</v>
      </c>
      <c r="T81" s="77">
        <f t="shared" si="322"/>
        <v>0</v>
      </c>
      <c r="U81" s="79">
        <f t="shared" si="298"/>
        <v>0</v>
      </c>
      <c r="V81" s="79">
        <f t="shared" si="299"/>
        <v>0</v>
      </c>
      <c r="W81" s="79">
        <f t="shared" si="300"/>
        <v>0</v>
      </c>
      <c r="X81" s="80">
        <f t="shared" ref="X81:Y81" si="323">IF(O81&gt;0,O81/K81,0)</f>
        <v>0</v>
      </c>
      <c r="Y81" s="80">
        <f t="shared" si="323"/>
        <v>1</v>
      </c>
      <c r="Z81" s="80">
        <f t="shared" si="5"/>
        <v>0</v>
      </c>
      <c r="AA81" s="81"/>
      <c r="AB81" s="82">
        <v>48308.34</v>
      </c>
      <c r="AC81" s="81"/>
      <c r="AD81" s="81"/>
      <c r="AE81" s="83"/>
      <c r="AF81" s="83"/>
      <c r="AG81" s="83"/>
      <c r="AH81" s="83"/>
      <c r="AI81" s="81"/>
      <c r="AJ81" s="81"/>
      <c r="AK81" s="81"/>
      <c r="AL81" s="81"/>
      <c r="AM81" s="81"/>
      <c r="AN81" s="81">
        <f>47948.46+5491.42</f>
        <v>53439.88</v>
      </c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2">
        <v>0</v>
      </c>
      <c r="BL81" s="82">
        <v>101748.22</v>
      </c>
      <c r="BM81" s="82">
        <v>0</v>
      </c>
      <c r="BN81" s="81">
        <f t="shared" si="302"/>
        <v>0</v>
      </c>
      <c r="BO81" s="75">
        <f t="shared" si="303"/>
        <v>0</v>
      </c>
      <c r="BP81" s="81">
        <f t="shared" si="304"/>
        <v>0</v>
      </c>
      <c r="BQ81" s="81">
        <f t="shared" si="305"/>
        <v>0</v>
      </c>
      <c r="BR81" s="81">
        <f t="shared" si="306"/>
        <v>0</v>
      </c>
      <c r="BS81" s="81">
        <f t="shared" si="307"/>
        <v>0</v>
      </c>
      <c r="BT81" s="81">
        <f t="shared" si="308"/>
        <v>0</v>
      </c>
      <c r="BU81" s="81">
        <f t="shared" si="309"/>
        <v>0</v>
      </c>
      <c r="BV81" s="81">
        <f t="shared" si="310"/>
        <v>0</v>
      </c>
      <c r="BW81" s="81">
        <f t="shared" si="311"/>
        <v>0</v>
      </c>
      <c r="BX81" s="1"/>
      <c r="BY81" s="1"/>
      <c r="BZ81" s="1"/>
      <c r="CA81" s="1"/>
      <c r="CB81" s="1"/>
      <c r="CC81" s="1"/>
      <c r="CD81" s="1"/>
      <c r="CE81" s="1"/>
      <c r="CF81" s="1"/>
      <c r="CG81" s="1"/>
    </row>
    <row r="82" spans="1:85" ht="15.75" customHeight="1">
      <c r="A82" s="145"/>
      <c r="B82" s="132" t="s">
        <v>264</v>
      </c>
      <c r="C82" s="86" t="s">
        <v>262</v>
      </c>
      <c r="D82" s="87" t="s">
        <v>265</v>
      </c>
      <c r="E82" s="70"/>
      <c r="F82" s="71"/>
      <c r="G82" s="71">
        <f t="shared" si="295"/>
        <v>0</v>
      </c>
      <c r="H82" s="70"/>
      <c r="I82" s="72">
        <f t="shared" si="45"/>
        <v>0</v>
      </c>
      <c r="J82" s="72">
        <f t="shared" si="46"/>
        <v>0</v>
      </c>
      <c r="K82" s="88"/>
      <c r="L82" s="81">
        <v>72064.86</v>
      </c>
      <c r="M82" s="81"/>
      <c r="N82" s="88"/>
      <c r="O82" s="77">
        <f t="shared" ref="O82:Q82" si="324">AA82+AD82+AG82+AJ82+AM82+AP82+AS82+AV82+AY82+BB82+BE82+BH82</f>
        <v>0</v>
      </c>
      <c r="P82" s="77">
        <f t="shared" si="324"/>
        <v>27283.809999999998</v>
      </c>
      <c r="Q82" s="77">
        <f t="shared" si="324"/>
        <v>0</v>
      </c>
      <c r="R82" s="77">
        <f t="shared" ref="R82:T82" si="325">IF(BK82=0,SUM(AA82+AD82+AG82+AJ82+AM82+AP82+AS82+AV82+AY82+BB82+BE82+BH82),BK82)</f>
        <v>0</v>
      </c>
      <c r="S82" s="77">
        <f t="shared" si="325"/>
        <v>27283.81</v>
      </c>
      <c r="T82" s="77">
        <f t="shared" si="325"/>
        <v>0</v>
      </c>
      <c r="U82" s="79">
        <f t="shared" si="298"/>
        <v>0</v>
      </c>
      <c r="V82" s="79">
        <f t="shared" si="299"/>
        <v>44781.05</v>
      </c>
      <c r="W82" s="79">
        <f t="shared" si="300"/>
        <v>0</v>
      </c>
      <c r="X82" s="80">
        <f t="shared" ref="X82:Y82" si="326">IF(O82&gt;0,O82/K82,0)</f>
        <v>0</v>
      </c>
      <c r="Y82" s="80">
        <f t="shared" si="326"/>
        <v>0.3786007493804886</v>
      </c>
      <c r="Z82" s="80">
        <f t="shared" si="5"/>
        <v>0</v>
      </c>
      <c r="AA82" s="81"/>
      <c r="AB82" s="81"/>
      <c r="AC82" s="81"/>
      <c r="AD82" s="81"/>
      <c r="AE82" s="83"/>
      <c r="AF82" s="83"/>
      <c r="AG82" s="83"/>
      <c r="AH82" s="83"/>
      <c r="AI82" s="81"/>
      <c r="AJ82" s="81"/>
      <c r="AK82" s="81"/>
      <c r="AL82" s="81"/>
      <c r="AM82" s="81"/>
      <c r="AN82" s="81"/>
      <c r="AO82" s="81"/>
      <c r="AP82" s="81"/>
      <c r="AQ82" s="81">
        <f>14429.63+12854.18</f>
        <v>27283.809999999998</v>
      </c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2">
        <v>0</v>
      </c>
      <c r="BL82" s="82">
        <v>27283.81</v>
      </c>
      <c r="BM82" s="82">
        <v>0</v>
      </c>
      <c r="BN82" s="81">
        <f t="shared" si="302"/>
        <v>0</v>
      </c>
      <c r="BO82" s="75">
        <f t="shared" si="303"/>
        <v>0</v>
      </c>
      <c r="BP82" s="81">
        <f t="shared" si="304"/>
        <v>0</v>
      </c>
      <c r="BQ82" s="81">
        <f t="shared" si="305"/>
        <v>0</v>
      </c>
      <c r="BR82" s="81">
        <f t="shared" si="306"/>
        <v>0</v>
      </c>
      <c r="BS82" s="81">
        <f t="shared" si="307"/>
        <v>0</v>
      </c>
      <c r="BT82" s="138">
        <f t="shared" si="308"/>
        <v>44781.05</v>
      </c>
      <c r="BU82" s="81">
        <f t="shared" si="309"/>
        <v>0</v>
      </c>
      <c r="BV82" s="81">
        <f t="shared" si="310"/>
        <v>0</v>
      </c>
      <c r="BW82" s="81">
        <f t="shared" si="311"/>
        <v>44781.05</v>
      </c>
      <c r="BX82" s="1"/>
      <c r="BY82" s="1"/>
      <c r="BZ82" s="1"/>
      <c r="CA82" s="1"/>
      <c r="CB82" s="1"/>
      <c r="CC82" s="1"/>
      <c r="CD82" s="1"/>
      <c r="CE82" s="1"/>
      <c r="CF82" s="1"/>
      <c r="CG82" s="1"/>
    </row>
    <row r="83" spans="1:85" ht="15.75" customHeight="1">
      <c r="A83" s="113"/>
      <c r="B83" s="85" t="s">
        <v>266</v>
      </c>
      <c r="C83" s="86" t="s">
        <v>262</v>
      </c>
      <c r="D83" s="87" t="s">
        <v>267</v>
      </c>
      <c r="E83" s="70"/>
      <c r="F83" s="71"/>
      <c r="G83" s="71">
        <f t="shared" si="295"/>
        <v>0</v>
      </c>
      <c r="H83" s="70"/>
      <c r="I83" s="72">
        <f t="shared" si="45"/>
        <v>0</v>
      </c>
      <c r="J83" s="72">
        <f t="shared" si="46"/>
        <v>0</v>
      </c>
      <c r="K83" s="88"/>
      <c r="L83" s="81">
        <v>141458.57999999999</v>
      </c>
      <c r="M83" s="81"/>
      <c r="N83" s="88"/>
      <c r="O83" s="77">
        <f t="shared" ref="O83:Q83" si="327">AA83+AD83+AG83+AJ83+AM83+AP83+AS83+AV83+AY83+BB83+BE83+BH83</f>
        <v>0</v>
      </c>
      <c r="P83" s="77">
        <f t="shared" si="327"/>
        <v>141458.57999999999</v>
      </c>
      <c r="Q83" s="77">
        <f t="shared" si="327"/>
        <v>0</v>
      </c>
      <c r="R83" s="77">
        <f t="shared" ref="R83:T83" si="328">IF(BK83=0,SUM(AA83+AD83+AG83+AJ83+AM83+AP83+AS83+AV83+AY83+BB83+BE83+BH83),BK83)</f>
        <v>0</v>
      </c>
      <c r="S83" s="77">
        <f t="shared" si="328"/>
        <v>141458.57999999999</v>
      </c>
      <c r="T83" s="77">
        <f t="shared" si="328"/>
        <v>0</v>
      </c>
      <c r="U83" s="79">
        <f t="shared" si="298"/>
        <v>0</v>
      </c>
      <c r="V83" s="79">
        <f t="shared" si="299"/>
        <v>0</v>
      </c>
      <c r="W83" s="79">
        <f t="shared" si="300"/>
        <v>0</v>
      </c>
      <c r="X83" s="80">
        <f t="shared" ref="X83:Y83" si="329">IF(O83&gt;0,O83/K83,0)</f>
        <v>0</v>
      </c>
      <c r="Y83" s="80">
        <f t="shared" si="329"/>
        <v>1</v>
      </c>
      <c r="Z83" s="80">
        <f t="shared" si="5"/>
        <v>0</v>
      </c>
      <c r="AA83" s="81"/>
      <c r="AB83" s="82">
        <v>12535.69</v>
      </c>
      <c r="AC83" s="81"/>
      <c r="AD83" s="81"/>
      <c r="AE83" s="128">
        <v>40610.17</v>
      </c>
      <c r="AF83" s="83"/>
      <c r="AG83" s="83"/>
      <c r="AH83" s="83"/>
      <c r="AI83" s="81"/>
      <c r="AJ83" s="81"/>
      <c r="AK83" s="82">
        <v>61434.54</v>
      </c>
      <c r="AL83" s="81"/>
      <c r="AM83" s="81"/>
      <c r="AN83" s="82">
        <v>8786.81</v>
      </c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>
        <f>5797.25+12294.12</f>
        <v>18091.370000000003</v>
      </c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2">
        <v>0</v>
      </c>
      <c r="BL83" s="82">
        <v>141458.57999999999</v>
      </c>
      <c r="BM83" s="82">
        <v>0</v>
      </c>
      <c r="BN83" s="81">
        <f t="shared" si="302"/>
        <v>0</v>
      </c>
      <c r="BO83" s="75">
        <f t="shared" si="303"/>
        <v>0</v>
      </c>
      <c r="BP83" s="81">
        <f t="shared" si="304"/>
        <v>0</v>
      </c>
      <c r="BQ83" s="81">
        <f t="shared" si="305"/>
        <v>0</v>
      </c>
      <c r="BR83" s="81">
        <f t="shared" si="306"/>
        <v>0</v>
      </c>
      <c r="BS83" s="81">
        <f t="shared" si="307"/>
        <v>0</v>
      </c>
      <c r="BT83" s="81">
        <f t="shared" si="308"/>
        <v>0</v>
      </c>
      <c r="BU83" s="81">
        <f t="shared" si="309"/>
        <v>0</v>
      </c>
      <c r="BV83" s="81">
        <f t="shared" si="310"/>
        <v>0</v>
      </c>
      <c r="BW83" s="81">
        <f t="shared" si="311"/>
        <v>0</v>
      </c>
      <c r="BX83" s="1"/>
      <c r="BY83" s="1"/>
      <c r="BZ83" s="1"/>
      <c r="CA83" s="1"/>
      <c r="CB83" s="1"/>
      <c r="CC83" s="1"/>
      <c r="CD83" s="1"/>
      <c r="CE83" s="1"/>
      <c r="CF83" s="1"/>
      <c r="CG83" s="1"/>
    </row>
    <row r="84" spans="1:85" ht="15.75" customHeight="1">
      <c r="A84" s="125" t="s">
        <v>268</v>
      </c>
      <c r="B84" s="147" t="s">
        <v>269</v>
      </c>
      <c r="C84" s="148" t="s">
        <v>270</v>
      </c>
      <c r="D84" s="149" t="s">
        <v>271</v>
      </c>
      <c r="E84" s="70">
        <v>30000</v>
      </c>
      <c r="F84" s="71"/>
      <c r="G84" s="71">
        <f t="shared" si="295"/>
        <v>30000</v>
      </c>
      <c r="H84" s="70"/>
      <c r="I84" s="72">
        <f t="shared" si="45"/>
        <v>1.3231256666666666</v>
      </c>
      <c r="J84" s="72">
        <f t="shared" si="46"/>
        <v>1.3231256666666666</v>
      </c>
      <c r="K84" s="73">
        <v>39693.769999999997</v>
      </c>
      <c r="L84" s="81">
        <v>2827.39</v>
      </c>
      <c r="M84" s="81"/>
      <c r="N84" s="88"/>
      <c r="O84" s="77">
        <f t="shared" ref="O84:Q84" si="330">AA84+AD84+AG84+AJ84+AM84+AP84+AS84+AV84+AY84+BB84+BE84+BH84</f>
        <v>39693.769999999997</v>
      </c>
      <c r="P84" s="77">
        <f t="shared" si="330"/>
        <v>2827.39</v>
      </c>
      <c r="Q84" s="77">
        <f t="shared" si="330"/>
        <v>0</v>
      </c>
      <c r="R84" s="77">
        <f t="shared" ref="R84:T84" si="331">IF(BK84=0,SUM(AA84+AD84+AG84+AJ84+AM84+AP84+AS84+AV84+AY84+BB84+BE84+BH84),BK84)</f>
        <v>39693.769999999997</v>
      </c>
      <c r="S84" s="77">
        <f t="shared" si="331"/>
        <v>2827.39</v>
      </c>
      <c r="T84" s="77">
        <f t="shared" si="331"/>
        <v>0</v>
      </c>
      <c r="U84" s="78">
        <f t="shared" si="298"/>
        <v>0</v>
      </c>
      <c r="V84" s="79">
        <f t="shared" si="299"/>
        <v>0</v>
      </c>
      <c r="W84" s="79">
        <f t="shared" si="300"/>
        <v>0</v>
      </c>
      <c r="X84" s="80">
        <f t="shared" ref="X84:Y84" si="332">IF(O84&gt;0,O84/K84,0)</f>
        <v>1</v>
      </c>
      <c r="Y84" s="80">
        <f t="shared" si="332"/>
        <v>1</v>
      </c>
      <c r="Z84" s="80">
        <f t="shared" si="5"/>
        <v>0</v>
      </c>
      <c r="AA84" s="81"/>
      <c r="AB84" s="81"/>
      <c r="AC84" s="81"/>
      <c r="AD84" s="81"/>
      <c r="AE84" s="83"/>
      <c r="AF84" s="83"/>
      <c r="AG84" s="83"/>
      <c r="AH84" s="128">
        <v>2827.39</v>
      </c>
      <c r="AI84" s="81"/>
      <c r="AJ84" s="81"/>
      <c r="AK84" s="81"/>
      <c r="AL84" s="81"/>
      <c r="AM84" s="81"/>
      <c r="AN84" s="81"/>
      <c r="AO84" s="81"/>
      <c r="AP84" s="81">
        <f>8165.23+8397.64</f>
        <v>16562.87</v>
      </c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>
        <f>13775.12</f>
        <v>13775.12</v>
      </c>
      <c r="BC84" s="81"/>
      <c r="BD84" s="81"/>
      <c r="BE84" s="81"/>
      <c r="BF84" s="81"/>
      <c r="BG84" s="81"/>
      <c r="BH84" s="81">
        <f>4239.04+5116.74</f>
        <v>9355.7799999999988</v>
      </c>
      <c r="BI84" s="81"/>
      <c r="BJ84" s="81"/>
      <c r="BK84" s="82">
        <v>39693.769999999997</v>
      </c>
      <c r="BL84" s="82">
        <v>2827.39</v>
      </c>
      <c r="BM84" s="82">
        <v>0</v>
      </c>
      <c r="BN84" s="81">
        <f t="shared" si="302"/>
        <v>0</v>
      </c>
      <c r="BO84" s="75">
        <f t="shared" si="303"/>
        <v>0</v>
      </c>
      <c r="BP84" s="81">
        <f t="shared" si="304"/>
        <v>0</v>
      </c>
      <c r="BQ84" s="81">
        <f t="shared" si="305"/>
        <v>0</v>
      </c>
      <c r="BR84" s="81">
        <f t="shared" si="306"/>
        <v>0</v>
      </c>
      <c r="BS84" s="81">
        <f t="shared" si="307"/>
        <v>0</v>
      </c>
      <c r="BT84" s="81">
        <f t="shared" si="308"/>
        <v>0</v>
      </c>
      <c r="BU84" s="81">
        <f t="shared" si="309"/>
        <v>0</v>
      </c>
      <c r="BV84" s="81">
        <f t="shared" si="310"/>
        <v>0</v>
      </c>
      <c r="BW84" s="81">
        <f t="shared" si="311"/>
        <v>0</v>
      </c>
      <c r="BX84" s="1"/>
      <c r="BY84" s="1"/>
      <c r="BZ84" s="1"/>
      <c r="CA84" s="1"/>
      <c r="CB84" s="1"/>
      <c r="CC84" s="1"/>
      <c r="CD84" s="1"/>
      <c r="CE84" s="1"/>
      <c r="CF84" s="1"/>
      <c r="CG84" s="1"/>
    </row>
    <row r="85" spans="1:85" ht="15.75" customHeight="1">
      <c r="A85" s="125" t="s">
        <v>272</v>
      </c>
      <c r="B85" s="147" t="s">
        <v>273</v>
      </c>
      <c r="C85" s="148" t="s">
        <v>270</v>
      </c>
      <c r="D85" s="149" t="s">
        <v>274</v>
      </c>
      <c r="E85" s="117"/>
      <c r="F85" s="118"/>
      <c r="G85" s="71">
        <f t="shared" si="295"/>
        <v>0</v>
      </c>
      <c r="H85" s="70"/>
      <c r="I85" s="72">
        <f t="shared" si="45"/>
        <v>0</v>
      </c>
      <c r="J85" s="72">
        <f t="shared" si="46"/>
        <v>0</v>
      </c>
      <c r="K85" s="73">
        <v>3392.86</v>
      </c>
      <c r="L85" s="120">
        <v>15000</v>
      </c>
      <c r="M85" s="120"/>
      <c r="N85" s="88"/>
      <c r="O85" s="77">
        <f t="shared" ref="O85:Q85" si="333">AA85+AD85+AG85+AJ85+AM85+AP85+AS85+AV85+AY85+BB85+BE85+BH85</f>
        <v>3392.86</v>
      </c>
      <c r="P85" s="77">
        <f t="shared" si="333"/>
        <v>15000</v>
      </c>
      <c r="Q85" s="77">
        <f t="shared" si="333"/>
        <v>0</v>
      </c>
      <c r="R85" s="77">
        <f t="shared" ref="R85:T85" si="334">IF(BK85=0,SUM(AA85+AD85+AG85+AJ85+AM85+AP85+AS85+AV85+AY85+BB85+BE85+BH85),BK85)</f>
        <v>3392.86</v>
      </c>
      <c r="S85" s="77">
        <f t="shared" si="334"/>
        <v>15000</v>
      </c>
      <c r="T85" s="77">
        <f t="shared" si="334"/>
        <v>0</v>
      </c>
      <c r="U85" s="79">
        <f t="shared" si="298"/>
        <v>0</v>
      </c>
      <c r="V85" s="79">
        <f t="shared" si="299"/>
        <v>0</v>
      </c>
      <c r="W85" s="79">
        <f t="shared" si="300"/>
        <v>0</v>
      </c>
      <c r="X85" s="80">
        <f t="shared" ref="X85:Y85" si="335">IF(O85&gt;0,O85/K85,0)</f>
        <v>1</v>
      </c>
      <c r="Y85" s="80">
        <f t="shared" si="335"/>
        <v>1</v>
      </c>
      <c r="Z85" s="80">
        <f t="shared" si="5"/>
        <v>0</v>
      </c>
      <c r="AA85" s="81"/>
      <c r="AB85" s="82">
        <v>9350</v>
      </c>
      <c r="AC85" s="81"/>
      <c r="AD85" s="81"/>
      <c r="AE85" s="83"/>
      <c r="AF85" s="83"/>
      <c r="AG85" s="83"/>
      <c r="AH85" s="128">
        <v>5650</v>
      </c>
      <c r="AI85" s="82"/>
      <c r="AJ85" s="82">
        <v>3308.09</v>
      </c>
      <c r="AK85" s="81"/>
      <c r="AL85" s="81"/>
      <c r="AM85" s="81"/>
      <c r="AN85" s="81"/>
      <c r="AO85" s="81"/>
      <c r="AP85" s="82">
        <v>84.77</v>
      </c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  <c r="BJ85" s="81"/>
      <c r="BK85" s="82">
        <v>3392.86</v>
      </c>
      <c r="BL85" s="82">
        <v>15000</v>
      </c>
      <c r="BM85" s="82">
        <v>0</v>
      </c>
      <c r="BN85" s="81">
        <f t="shared" si="302"/>
        <v>0</v>
      </c>
      <c r="BO85" s="75">
        <f t="shared" si="303"/>
        <v>0</v>
      </c>
      <c r="BP85" s="81">
        <f t="shared" si="304"/>
        <v>0</v>
      </c>
      <c r="BQ85" s="81">
        <f t="shared" si="305"/>
        <v>0</v>
      </c>
      <c r="BR85" s="81">
        <f t="shared" si="306"/>
        <v>0</v>
      </c>
      <c r="BS85" s="81">
        <f t="shared" si="307"/>
        <v>0</v>
      </c>
      <c r="BT85" s="81">
        <f t="shared" si="308"/>
        <v>0</v>
      </c>
      <c r="BU85" s="81">
        <f t="shared" si="309"/>
        <v>0</v>
      </c>
      <c r="BV85" s="81">
        <f t="shared" si="310"/>
        <v>0</v>
      </c>
      <c r="BW85" s="81">
        <f t="shared" si="311"/>
        <v>0</v>
      </c>
      <c r="BX85" s="1"/>
      <c r="BY85" s="1"/>
      <c r="BZ85" s="1"/>
      <c r="CA85" s="1"/>
      <c r="CB85" s="1"/>
      <c r="CC85" s="1"/>
      <c r="CD85" s="1"/>
      <c r="CE85" s="1"/>
      <c r="CF85" s="1"/>
      <c r="CG85" s="1"/>
    </row>
    <row r="86" spans="1:85" ht="15.75" customHeight="1">
      <c r="A86" s="134" t="s">
        <v>275</v>
      </c>
      <c r="B86" s="132" t="s">
        <v>276</v>
      </c>
      <c r="C86" s="86" t="s">
        <v>262</v>
      </c>
      <c r="D86" s="149" t="s">
        <v>277</v>
      </c>
      <c r="E86" s="117">
        <v>10000</v>
      </c>
      <c r="F86" s="118"/>
      <c r="G86" s="71">
        <f t="shared" si="295"/>
        <v>10000</v>
      </c>
      <c r="H86" s="70"/>
      <c r="I86" s="72">
        <f t="shared" si="45"/>
        <v>1.9782200000000001</v>
      </c>
      <c r="J86" s="72">
        <f t="shared" si="46"/>
        <v>1.7942979999999999</v>
      </c>
      <c r="K86" s="73">
        <f>22070.64-3678.44+1390</f>
        <v>19782.2</v>
      </c>
      <c r="L86" s="120">
        <v>2904.4</v>
      </c>
      <c r="M86" s="124">
        <v>124.4</v>
      </c>
      <c r="N86" s="88"/>
      <c r="O86" s="77">
        <f t="shared" ref="O86:Q86" si="336">AA86+AD86+AG86+AJ86+AM86+AP86+AS86+AV86+AY86+BB86+BE86+BH86</f>
        <v>17942.98</v>
      </c>
      <c r="P86" s="77">
        <f t="shared" si="336"/>
        <v>2780</v>
      </c>
      <c r="Q86" s="77">
        <f t="shared" si="336"/>
        <v>0</v>
      </c>
      <c r="R86" s="77">
        <f t="shared" ref="R86:T86" si="337">IF(BK86=0,SUM(AA86+AD86+AG86+AJ86+AM86+AP86+AS86+AV86+AY86+BB86+BE86+BH86),BK86)</f>
        <v>17942.98</v>
      </c>
      <c r="S86" s="77">
        <f t="shared" si="337"/>
        <v>2780</v>
      </c>
      <c r="T86" s="77">
        <f t="shared" si="337"/>
        <v>0</v>
      </c>
      <c r="U86" s="78">
        <f t="shared" si="298"/>
        <v>1839.2200000000012</v>
      </c>
      <c r="V86" s="79">
        <f t="shared" si="299"/>
        <v>0</v>
      </c>
      <c r="W86" s="79">
        <f t="shared" si="300"/>
        <v>0</v>
      </c>
      <c r="X86" s="80">
        <f t="shared" ref="X86:Y86" si="338">IF(O86&gt;0,O86/K86,0)</f>
        <v>0.90702651878961893</v>
      </c>
      <c r="Y86" s="80">
        <f t="shared" si="338"/>
        <v>0.9571684340999862</v>
      </c>
      <c r="Z86" s="80">
        <f t="shared" si="5"/>
        <v>0</v>
      </c>
      <c r="AA86" s="81"/>
      <c r="AB86" s="82">
        <v>1390</v>
      </c>
      <c r="AC86" s="81"/>
      <c r="AD86" s="81"/>
      <c r="AE86" s="128">
        <v>1390</v>
      </c>
      <c r="AF86" s="83"/>
      <c r="AG86" s="128">
        <v>1390</v>
      </c>
      <c r="AH86" s="83"/>
      <c r="AI86" s="82"/>
      <c r="AJ86" s="82">
        <v>1839.22</v>
      </c>
      <c r="AK86" s="81"/>
      <c r="AL86" s="81"/>
      <c r="AM86" s="81"/>
      <c r="AN86" s="81"/>
      <c r="AO86" s="81"/>
      <c r="AP86" s="81">
        <f>1839.22+1839.22</f>
        <v>3678.44</v>
      </c>
      <c r="AQ86" s="81"/>
      <c r="AR86" s="81"/>
      <c r="AS86" s="81"/>
      <c r="AT86" s="81"/>
      <c r="AU86" s="81"/>
      <c r="AV86" s="81">
        <f>1839.22</f>
        <v>1839.22</v>
      </c>
      <c r="AW86" s="81"/>
      <c r="AX86" s="81"/>
      <c r="AY86" s="81">
        <f>1839.22+1839.22</f>
        <v>3678.44</v>
      </c>
      <c r="AZ86" s="81"/>
      <c r="BA86" s="81"/>
      <c r="BB86" s="81"/>
      <c r="BC86" s="81"/>
      <c r="BD86" s="81"/>
      <c r="BE86" s="81">
        <f>1839.22</f>
        <v>1839.22</v>
      </c>
      <c r="BF86" s="81"/>
      <c r="BG86" s="81"/>
      <c r="BH86" s="81">
        <f>1839.22+1839.22</f>
        <v>3678.44</v>
      </c>
      <c r="BI86" s="81"/>
      <c r="BJ86" s="81"/>
      <c r="BK86" s="82">
        <v>17942.98</v>
      </c>
      <c r="BL86" s="82">
        <v>2780</v>
      </c>
      <c r="BM86" s="82">
        <v>0</v>
      </c>
      <c r="BN86" s="81">
        <f t="shared" si="302"/>
        <v>0</v>
      </c>
      <c r="BO86" s="75">
        <f t="shared" si="303"/>
        <v>0</v>
      </c>
      <c r="BP86" s="81">
        <f t="shared" si="304"/>
        <v>0</v>
      </c>
      <c r="BQ86" s="81">
        <f t="shared" si="305"/>
        <v>1839.2200000000012</v>
      </c>
      <c r="BR86" s="81">
        <f t="shared" si="306"/>
        <v>0</v>
      </c>
      <c r="BS86" s="81">
        <f t="shared" si="307"/>
        <v>1839.2200000000012</v>
      </c>
      <c r="BT86" s="81">
        <f t="shared" si="308"/>
        <v>0</v>
      </c>
      <c r="BU86" s="81">
        <f t="shared" si="309"/>
        <v>0</v>
      </c>
      <c r="BV86" s="81">
        <f t="shared" si="310"/>
        <v>1839.2200000000012</v>
      </c>
      <c r="BW86" s="81">
        <f t="shared" si="311"/>
        <v>1839.2200000000012</v>
      </c>
      <c r="BX86" s="1"/>
      <c r="BY86" s="1"/>
      <c r="BZ86" s="1"/>
      <c r="CA86" s="1"/>
      <c r="CB86" s="1"/>
      <c r="CC86" s="1"/>
      <c r="CD86" s="1"/>
      <c r="CE86" s="1"/>
      <c r="CF86" s="1"/>
      <c r="CG86" s="1"/>
    </row>
    <row r="87" spans="1:85" ht="15.75" customHeight="1">
      <c r="A87" s="134" t="s">
        <v>278</v>
      </c>
      <c r="B87" s="146"/>
      <c r="C87" s="86" t="s">
        <v>262</v>
      </c>
      <c r="D87" s="149" t="s">
        <v>279</v>
      </c>
      <c r="E87" s="117"/>
      <c r="F87" s="118"/>
      <c r="G87" s="71">
        <f t="shared" si="295"/>
        <v>0</v>
      </c>
      <c r="H87" s="70"/>
      <c r="I87" s="72">
        <f t="shared" si="45"/>
        <v>0</v>
      </c>
      <c r="J87" s="72">
        <f t="shared" si="46"/>
        <v>0</v>
      </c>
      <c r="K87" s="73">
        <f>52927.2-7750+4497.86-45000-2924.7-1750.36</f>
        <v>-2.0463630789890885E-12</v>
      </c>
      <c r="L87" s="120"/>
      <c r="M87" s="120"/>
      <c r="N87" s="88"/>
      <c r="O87" s="77">
        <f t="shared" ref="O87:Q87" si="339">AA87+AD87+AG87+AJ87+AM87+AP87+AS87+AV87+AY87+BB87+BE87+BH87</f>
        <v>0</v>
      </c>
      <c r="P87" s="77">
        <f t="shared" si="339"/>
        <v>0</v>
      </c>
      <c r="Q87" s="77">
        <f t="shared" si="339"/>
        <v>0</v>
      </c>
      <c r="R87" s="77">
        <f t="shared" ref="R87:T87" si="340">IF(BK87=0,SUM(AA87+AD87+AG87+AJ87+AM87+AP87+AS87+AV87+AY87+BB87+BE87+BH87),BK87)</f>
        <v>0</v>
      </c>
      <c r="S87" s="77">
        <f t="shared" si="340"/>
        <v>0</v>
      </c>
      <c r="T87" s="77">
        <f t="shared" si="340"/>
        <v>0</v>
      </c>
      <c r="U87" s="78">
        <f t="shared" si="298"/>
        <v>-2.0463630789890885E-12</v>
      </c>
      <c r="V87" s="79">
        <f t="shared" si="299"/>
        <v>0</v>
      </c>
      <c r="W87" s="79">
        <f t="shared" si="300"/>
        <v>0</v>
      </c>
      <c r="X87" s="80">
        <f t="shared" ref="X87:Y87" si="341">IF(O87&gt;0,O87/K87,0)</f>
        <v>0</v>
      </c>
      <c r="Y87" s="80">
        <f t="shared" si="341"/>
        <v>0</v>
      </c>
      <c r="Z87" s="80">
        <f t="shared" si="5"/>
        <v>0</v>
      </c>
      <c r="AA87" s="81"/>
      <c r="AB87" s="81"/>
      <c r="AC87" s="81"/>
      <c r="AD87" s="81"/>
      <c r="AE87" s="83"/>
      <c r="AF87" s="83"/>
      <c r="AG87" s="83"/>
      <c r="AH87" s="83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2">
        <v>0</v>
      </c>
      <c r="BL87" s="82">
        <v>0</v>
      </c>
      <c r="BM87" s="82">
        <v>0</v>
      </c>
      <c r="BN87" s="81">
        <f t="shared" si="302"/>
        <v>0</v>
      </c>
      <c r="BO87" s="75">
        <f t="shared" si="303"/>
        <v>0</v>
      </c>
      <c r="BP87" s="81">
        <f t="shared" si="304"/>
        <v>0</v>
      </c>
      <c r="BQ87" s="81">
        <f t="shared" si="305"/>
        <v>-2.0463630789890885E-12</v>
      </c>
      <c r="BR87" s="81">
        <f t="shared" si="306"/>
        <v>0</v>
      </c>
      <c r="BS87" s="81">
        <f t="shared" si="307"/>
        <v>0</v>
      </c>
      <c r="BT87" s="81">
        <f t="shared" si="308"/>
        <v>0</v>
      </c>
      <c r="BU87" s="81">
        <f t="shared" si="309"/>
        <v>0</v>
      </c>
      <c r="BV87" s="81">
        <f t="shared" si="310"/>
        <v>0</v>
      </c>
      <c r="BW87" s="81">
        <f t="shared" si="311"/>
        <v>0</v>
      </c>
      <c r="BX87" s="1"/>
      <c r="BY87" s="1"/>
      <c r="BZ87" s="1"/>
      <c r="CA87" s="1"/>
      <c r="CB87" s="1"/>
      <c r="CC87" s="1"/>
      <c r="CD87" s="1"/>
      <c r="CE87" s="1"/>
      <c r="CF87" s="1"/>
      <c r="CG87" s="1"/>
    </row>
    <row r="88" spans="1:85" ht="15.75" customHeight="1">
      <c r="A88" s="134" t="s">
        <v>280</v>
      </c>
      <c r="B88" s="146"/>
      <c r="C88" s="86" t="s">
        <v>262</v>
      </c>
      <c r="D88" s="150" t="s">
        <v>281</v>
      </c>
      <c r="E88" s="117"/>
      <c r="F88" s="118"/>
      <c r="G88" s="71">
        <f t="shared" si="295"/>
        <v>0</v>
      </c>
      <c r="H88" s="70"/>
      <c r="I88" s="72">
        <f t="shared" si="45"/>
        <v>0</v>
      </c>
      <c r="J88" s="72">
        <f t="shared" si="46"/>
        <v>0</v>
      </c>
      <c r="K88" s="73">
        <f>29163.75-24303.13-4860.62+4860.63-4860.63</f>
        <v>0</v>
      </c>
      <c r="L88" s="120"/>
      <c r="M88" s="120"/>
      <c r="N88" s="88"/>
      <c r="O88" s="77">
        <f t="shared" ref="O88:Q88" si="342">AA88+AD88+AG88+AJ88+AM88+AP88+AS88+AV88+AY88+BB88+BE88+BH88</f>
        <v>0</v>
      </c>
      <c r="P88" s="77">
        <f t="shared" si="342"/>
        <v>0</v>
      </c>
      <c r="Q88" s="77">
        <f t="shared" si="342"/>
        <v>0</v>
      </c>
      <c r="R88" s="77">
        <f t="shared" ref="R88:T88" si="343">IF(BK88=0,SUM(AA88+AD88+AG88+AJ88+AM88+AP88+AS88+AV88+AY88+BB88+BE88+BH88),BK88)</f>
        <v>0</v>
      </c>
      <c r="S88" s="77">
        <f t="shared" si="343"/>
        <v>0</v>
      </c>
      <c r="T88" s="77">
        <f t="shared" si="343"/>
        <v>0</v>
      </c>
      <c r="U88" s="78">
        <f t="shared" si="298"/>
        <v>0</v>
      </c>
      <c r="V88" s="79">
        <f t="shared" si="299"/>
        <v>0</v>
      </c>
      <c r="W88" s="79">
        <f t="shared" si="300"/>
        <v>0</v>
      </c>
      <c r="X88" s="80">
        <f t="shared" ref="X88:Y88" si="344">IF(O88&gt;0,O88/K88,0)</f>
        <v>0</v>
      </c>
      <c r="Y88" s="80">
        <f t="shared" si="344"/>
        <v>0</v>
      </c>
      <c r="Z88" s="80">
        <f t="shared" si="5"/>
        <v>0</v>
      </c>
      <c r="AA88" s="81"/>
      <c r="AB88" s="81"/>
      <c r="AC88" s="81"/>
      <c r="AD88" s="81"/>
      <c r="AE88" s="83"/>
      <c r="AF88" s="83"/>
      <c r="AG88" s="83"/>
      <c r="AH88" s="83"/>
      <c r="AI88" s="81"/>
      <c r="AJ88" s="81"/>
      <c r="AK88" s="81"/>
      <c r="AL88" s="81"/>
      <c r="AM88" s="81"/>
      <c r="AN88" s="82"/>
      <c r="AO88" s="81"/>
      <c r="AP88" s="81"/>
      <c r="AQ88" s="82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2">
        <v>0</v>
      </c>
      <c r="BL88" s="82">
        <v>0</v>
      </c>
      <c r="BM88" s="82">
        <v>0</v>
      </c>
      <c r="BN88" s="81">
        <f t="shared" si="302"/>
        <v>0</v>
      </c>
      <c r="BO88" s="75">
        <f t="shared" si="303"/>
        <v>0</v>
      </c>
      <c r="BP88" s="81">
        <f t="shared" si="304"/>
        <v>0</v>
      </c>
      <c r="BQ88" s="81">
        <f t="shared" si="305"/>
        <v>0</v>
      </c>
      <c r="BR88" s="81">
        <f t="shared" si="306"/>
        <v>0</v>
      </c>
      <c r="BS88" s="81">
        <f t="shared" si="307"/>
        <v>0</v>
      </c>
      <c r="BT88" s="81">
        <f t="shared" si="308"/>
        <v>0</v>
      </c>
      <c r="BU88" s="81">
        <f t="shared" si="309"/>
        <v>0</v>
      </c>
      <c r="BV88" s="81">
        <f t="shared" si="310"/>
        <v>0</v>
      </c>
      <c r="BW88" s="81">
        <f t="shared" si="311"/>
        <v>0</v>
      </c>
      <c r="BX88" s="1"/>
      <c r="BY88" s="1"/>
      <c r="BZ88" s="1"/>
      <c r="CA88" s="1"/>
      <c r="CB88" s="1"/>
      <c r="CC88" s="1"/>
      <c r="CD88" s="1"/>
      <c r="CE88" s="1"/>
      <c r="CF88" s="1"/>
      <c r="CG88" s="1"/>
    </row>
    <row r="89" spans="1:85" ht="15.75" customHeight="1">
      <c r="A89" s="145"/>
      <c r="B89" s="146" t="s">
        <v>282</v>
      </c>
      <c r="C89" s="148" t="s">
        <v>270</v>
      </c>
      <c r="D89" s="149" t="s">
        <v>283</v>
      </c>
      <c r="E89" s="117">
        <v>40000</v>
      </c>
      <c r="F89" s="118"/>
      <c r="G89" s="71">
        <f t="shared" si="295"/>
        <v>40000</v>
      </c>
      <c r="H89" s="70"/>
      <c r="I89" s="72">
        <f t="shared" si="45"/>
        <v>0</v>
      </c>
      <c r="J89" s="72">
        <f t="shared" si="46"/>
        <v>0</v>
      </c>
      <c r="K89" s="88"/>
      <c r="L89" s="120">
        <v>20420</v>
      </c>
      <c r="M89" s="120"/>
      <c r="N89" s="88"/>
      <c r="O89" s="77">
        <f t="shared" ref="O89:Q89" si="345">AA89+AD89+AG89+AJ89+AM89+AP89+AS89+AV89+AY89+BB89+BE89+BH89</f>
        <v>0</v>
      </c>
      <c r="P89" s="77">
        <f t="shared" si="345"/>
        <v>20420</v>
      </c>
      <c r="Q89" s="77">
        <f t="shared" si="345"/>
        <v>0</v>
      </c>
      <c r="R89" s="77">
        <f t="shared" ref="R89:T89" si="346">IF(BK89=0,SUM(AA89+AD89+AG89+AJ89+AM89+AP89+AS89+AV89+AY89+BB89+BE89+BH89),BK89)</f>
        <v>0</v>
      </c>
      <c r="S89" s="77">
        <f t="shared" si="346"/>
        <v>17747.5</v>
      </c>
      <c r="T89" s="77">
        <f t="shared" si="346"/>
        <v>0</v>
      </c>
      <c r="U89" s="79">
        <f t="shared" si="298"/>
        <v>0</v>
      </c>
      <c r="V89" s="79">
        <f t="shared" si="299"/>
        <v>2672.5</v>
      </c>
      <c r="W89" s="79">
        <f t="shared" si="300"/>
        <v>0</v>
      </c>
      <c r="X89" s="80">
        <f t="shared" ref="X89:Y89" si="347">IF(O89&gt;0,O89/K89,0)</f>
        <v>0</v>
      </c>
      <c r="Y89" s="80">
        <f t="shared" si="347"/>
        <v>1</v>
      </c>
      <c r="Z89" s="80">
        <f t="shared" si="5"/>
        <v>0</v>
      </c>
      <c r="AA89" s="81"/>
      <c r="AB89" s="81"/>
      <c r="AC89" s="81"/>
      <c r="AD89" s="81"/>
      <c r="AE89" s="83"/>
      <c r="AF89" s="83"/>
      <c r="AG89" s="83"/>
      <c r="AH89" s="83"/>
      <c r="AI89" s="81"/>
      <c r="AJ89" s="81"/>
      <c r="AK89" s="81"/>
      <c r="AL89" s="81"/>
      <c r="AM89" s="81"/>
      <c r="AN89" s="82">
        <v>3354</v>
      </c>
      <c r="AO89" s="81"/>
      <c r="AP89" s="81"/>
      <c r="AQ89" s="82">
        <f>3500+3000</f>
        <v>6500</v>
      </c>
      <c r="AR89" s="81"/>
      <c r="AS89" s="81"/>
      <c r="AT89" s="81"/>
      <c r="AU89" s="81"/>
      <c r="AV89" s="81"/>
      <c r="AW89" s="81">
        <f>6353.5</f>
        <v>6353.5</v>
      </c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>
        <f>1540+2672.5</f>
        <v>4212.5</v>
      </c>
      <c r="BJ89" s="81"/>
      <c r="BK89" s="82">
        <v>0</v>
      </c>
      <c r="BL89" s="82">
        <f>20420-2672.5</f>
        <v>17747.5</v>
      </c>
      <c r="BM89" s="82">
        <v>0</v>
      </c>
      <c r="BN89" s="81">
        <f t="shared" si="302"/>
        <v>0</v>
      </c>
      <c r="BO89" s="75">
        <f t="shared" si="303"/>
        <v>0</v>
      </c>
      <c r="BP89" s="81">
        <f t="shared" si="304"/>
        <v>0</v>
      </c>
      <c r="BQ89" s="81">
        <f t="shared" si="305"/>
        <v>0</v>
      </c>
      <c r="BR89" s="81">
        <f t="shared" si="306"/>
        <v>0</v>
      </c>
      <c r="BS89" s="81">
        <f t="shared" si="307"/>
        <v>0</v>
      </c>
      <c r="BT89" s="138">
        <f t="shared" si="308"/>
        <v>2672.5</v>
      </c>
      <c r="BU89" s="81">
        <f t="shared" si="309"/>
        <v>0</v>
      </c>
      <c r="BV89" s="81">
        <f t="shared" si="310"/>
        <v>0</v>
      </c>
      <c r="BW89" s="81">
        <f t="shared" si="311"/>
        <v>2672.5</v>
      </c>
      <c r="BX89" s="1"/>
      <c r="BY89" s="1"/>
      <c r="BZ89" s="1"/>
      <c r="CA89" s="1"/>
      <c r="CB89" s="1"/>
      <c r="CC89" s="1"/>
      <c r="CD89" s="1"/>
      <c r="CE89" s="1"/>
      <c r="CF89" s="1"/>
      <c r="CG89" s="1"/>
    </row>
    <row r="90" spans="1:85" ht="15.75" customHeight="1">
      <c r="A90" s="145"/>
      <c r="B90" s="132" t="s">
        <v>284</v>
      </c>
      <c r="C90" s="148" t="s">
        <v>270</v>
      </c>
      <c r="D90" s="149" t="s">
        <v>285</v>
      </c>
      <c r="E90" s="117"/>
      <c r="F90" s="118"/>
      <c r="G90" s="71">
        <f t="shared" si="295"/>
        <v>0</v>
      </c>
      <c r="H90" s="70"/>
      <c r="I90" s="72">
        <f t="shared" si="45"/>
        <v>0</v>
      </c>
      <c r="J90" s="72">
        <f t="shared" si="46"/>
        <v>0</v>
      </c>
      <c r="K90" s="88"/>
      <c r="L90" s="120">
        <v>11810.49</v>
      </c>
      <c r="M90" s="120"/>
      <c r="N90" s="88"/>
      <c r="O90" s="77">
        <f t="shared" ref="O90:Q90" si="348">AA90+AD90+AG90+AJ90+AM90+AP90+AS90+AV90+AY90+BB90+BE90+BH90</f>
        <v>0</v>
      </c>
      <c r="P90" s="77">
        <f t="shared" si="348"/>
        <v>11810.49</v>
      </c>
      <c r="Q90" s="77">
        <f t="shared" si="348"/>
        <v>0</v>
      </c>
      <c r="R90" s="77">
        <f t="shared" ref="R90:T90" si="349">IF(BK90=0,SUM(AA90+AD90+AG90+AJ90+AM90+AP90+AS90+AV90+AY90+BB90+BE90+BH90),BK90)</f>
        <v>0</v>
      </c>
      <c r="S90" s="77">
        <f t="shared" si="349"/>
        <v>11810.49</v>
      </c>
      <c r="T90" s="77">
        <f t="shared" si="349"/>
        <v>0</v>
      </c>
      <c r="U90" s="79">
        <f t="shared" si="298"/>
        <v>0</v>
      </c>
      <c r="V90" s="79">
        <f t="shared" si="299"/>
        <v>0</v>
      </c>
      <c r="W90" s="79">
        <f t="shared" si="300"/>
        <v>0</v>
      </c>
      <c r="X90" s="80">
        <f t="shared" ref="X90:Y90" si="350">IF(O90&gt;0,O90/K90,0)</f>
        <v>0</v>
      </c>
      <c r="Y90" s="80">
        <f t="shared" si="350"/>
        <v>1</v>
      </c>
      <c r="Z90" s="80">
        <f t="shared" si="5"/>
        <v>0</v>
      </c>
      <c r="AA90" s="81"/>
      <c r="AB90" s="81"/>
      <c r="AC90" s="81"/>
      <c r="AD90" s="81"/>
      <c r="AE90" s="128">
        <v>11810.49</v>
      </c>
      <c r="AF90" s="83"/>
      <c r="AG90" s="83"/>
      <c r="AH90" s="83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2">
        <v>0</v>
      </c>
      <c r="BL90" s="82">
        <v>11810.49</v>
      </c>
      <c r="BM90" s="82">
        <v>0</v>
      </c>
      <c r="BN90" s="81">
        <f t="shared" si="302"/>
        <v>0</v>
      </c>
      <c r="BO90" s="75">
        <f t="shared" si="303"/>
        <v>0</v>
      </c>
      <c r="BP90" s="81">
        <f t="shared" si="304"/>
        <v>0</v>
      </c>
      <c r="BQ90" s="81">
        <f t="shared" si="305"/>
        <v>0</v>
      </c>
      <c r="BR90" s="81">
        <f t="shared" si="306"/>
        <v>0</v>
      </c>
      <c r="BS90" s="81">
        <f t="shared" si="307"/>
        <v>0</v>
      </c>
      <c r="BT90" s="81">
        <f t="shared" si="308"/>
        <v>0</v>
      </c>
      <c r="BU90" s="81">
        <f t="shared" si="309"/>
        <v>0</v>
      </c>
      <c r="BV90" s="81">
        <f t="shared" si="310"/>
        <v>0</v>
      </c>
      <c r="BW90" s="81">
        <f t="shared" si="311"/>
        <v>0</v>
      </c>
      <c r="BX90" s="1"/>
      <c r="BY90" s="1"/>
      <c r="BZ90" s="1"/>
      <c r="CA90" s="1"/>
      <c r="CB90" s="1"/>
      <c r="CC90" s="1"/>
      <c r="CD90" s="1"/>
      <c r="CE90" s="1"/>
      <c r="CF90" s="1"/>
      <c r="CG90" s="1"/>
    </row>
    <row r="91" spans="1:85" ht="15.75" customHeight="1">
      <c r="A91" s="145"/>
      <c r="B91" s="132" t="s">
        <v>286</v>
      </c>
      <c r="C91" s="148" t="s">
        <v>270</v>
      </c>
      <c r="D91" s="149" t="s">
        <v>287</v>
      </c>
      <c r="E91" s="117"/>
      <c r="F91" s="118"/>
      <c r="G91" s="71">
        <f t="shared" si="295"/>
        <v>0</v>
      </c>
      <c r="H91" s="70"/>
      <c r="I91" s="72">
        <f t="shared" si="45"/>
        <v>0</v>
      </c>
      <c r="J91" s="72">
        <f t="shared" si="46"/>
        <v>0</v>
      </c>
      <c r="K91" s="88"/>
      <c r="L91" s="120">
        <v>30750.73</v>
      </c>
      <c r="M91" s="120"/>
      <c r="N91" s="88"/>
      <c r="O91" s="77">
        <f t="shared" ref="O91:Q91" si="351">AA91+AD91+AG91+AJ91+AM91+AP91+AS91+AV91+AY91+BB91+BE91+BH91</f>
        <v>0</v>
      </c>
      <c r="P91" s="77">
        <f t="shared" si="351"/>
        <v>30750.730000000003</v>
      </c>
      <c r="Q91" s="77">
        <f t="shared" si="351"/>
        <v>0</v>
      </c>
      <c r="R91" s="77">
        <f t="shared" ref="R91:T91" si="352">IF(BK91=0,SUM(AA91+AD91+AG91+AJ91+AM91+AP91+AS91+AV91+AY91+BB91+BE91+BH91),BK91)</f>
        <v>0</v>
      </c>
      <c r="S91" s="77">
        <f t="shared" si="352"/>
        <v>30750.73</v>
      </c>
      <c r="T91" s="77">
        <f t="shared" si="352"/>
        <v>0</v>
      </c>
      <c r="U91" s="79">
        <f t="shared" si="298"/>
        <v>0</v>
      </c>
      <c r="V91" s="79">
        <f t="shared" si="299"/>
        <v>0</v>
      </c>
      <c r="W91" s="79">
        <f t="shared" si="300"/>
        <v>0</v>
      </c>
      <c r="X91" s="80">
        <f t="shared" ref="X91:Y91" si="353">IF(O91&gt;0,O91/K91,0)</f>
        <v>0</v>
      </c>
      <c r="Y91" s="80">
        <f t="shared" si="353"/>
        <v>1.0000000000000002</v>
      </c>
      <c r="Z91" s="80">
        <f t="shared" si="5"/>
        <v>0</v>
      </c>
      <c r="AA91" s="81"/>
      <c r="AB91" s="81"/>
      <c r="AC91" s="81"/>
      <c r="AD91" s="81"/>
      <c r="AE91" s="83">
        <f>6421.43+10980.51</f>
        <v>17401.940000000002</v>
      </c>
      <c r="AF91" s="83"/>
      <c r="AG91" s="83"/>
      <c r="AH91" s="128">
        <v>10710</v>
      </c>
      <c r="AI91" s="81"/>
      <c r="AJ91" s="81"/>
      <c r="AK91" s="81"/>
      <c r="AL91" s="81"/>
      <c r="AM91" s="81"/>
      <c r="AN91" s="82">
        <v>2638.79</v>
      </c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2">
        <v>0</v>
      </c>
      <c r="BL91" s="82">
        <v>30750.73</v>
      </c>
      <c r="BM91" s="82">
        <v>0</v>
      </c>
      <c r="BN91" s="81">
        <f t="shared" si="302"/>
        <v>0</v>
      </c>
      <c r="BO91" s="75">
        <f t="shared" si="303"/>
        <v>0</v>
      </c>
      <c r="BP91" s="81">
        <f t="shared" si="304"/>
        <v>0</v>
      </c>
      <c r="BQ91" s="81">
        <f t="shared" si="305"/>
        <v>0</v>
      </c>
      <c r="BR91" s="81">
        <f t="shared" si="306"/>
        <v>0</v>
      </c>
      <c r="BS91" s="81">
        <f t="shared" si="307"/>
        <v>0</v>
      </c>
      <c r="BT91" s="81">
        <f t="shared" si="308"/>
        <v>0</v>
      </c>
      <c r="BU91" s="81">
        <f t="shared" si="309"/>
        <v>0</v>
      </c>
      <c r="BV91" s="81">
        <f t="shared" si="310"/>
        <v>0</v>
      </c>
      <c r="BW91" s="81">
        <f t="shared" si="311"/>
        <v>0</v>
      </c>
      <c r="BX91" s="1"/>
      <c r="BY91" s="1"/>
      <c r="BZ91" s="1"/>
      <c r="CA91" s="1"/>
      <c r="CB91" s="1"/>
      <c r="CC91" s="1"/>
      <c r="CD91" s="1"/>
      <c r="CE91" s="1"/>
      <c r="CF91" s="1"/>
      <c r="CG91" s="1"/>
    </row>
    <row r="92" spans="1:85" ht="15.75" customHeight="1">
      <c r="A92" s="151" t="s">
        <v>288</v>
      </c>
      <c r="B92" s="132"/>
      <c r="C92" s="148" t="s">
        <v>270</v>
      </c>
      <c r="D92" s="149" t="s">
        <v>289</v>
      </c>
      <c r="E92" s="152"/>
      <c r="F92" s="153"/>
      <c r="G92" s="71">
        <f t="shared" si="295"/>
        <v>0</v>
      </c>
      <c r="H92" s="70"/>
      <c r="I92" s="72">
        <f t="shared" si="45"/>
        <v>0</v>
      </c>
      <c r="J92" s="72">
        <f t="shared" si="46"/>
        <v>0</v>
      </c>
      <c r="K92" s="73">
        <f>10876</f>
        <v>10876</v>
      </c>
      <c r="L92" s="120"/>
      <c r="M92" s="120"/>
      <c r="N92" s="88"/>
      <c r="O92" s="77">
        <f t="shared" ref="O92:Q92" si="354">AA92+AD92+AG92+AJ92+AM92+AP92+AS92+AV92+AY92+BB92+BE92+BH92</f>
        <v>10876</v>
      </c>
      <c r="P92" s="77">
        <f t="shared" si="354"/>
        <v>0</v>
      </c>
      <c r="Q92" s="77">
        <f t="shared" si="354"/>
        <v>0</v>
      </c>
      <c r="R92" s="77">
        <f t="shared" ref="R92:T92" si="355">IF(BK92=0,SUM(AA92+AD92+AG92+AJ92+AM92+AP92+AS92+AV92+AY92+BB92+BE92+BH92),BK92)</f>
        <v>10876</v>
      </c>
      <c r="S92" s="77">
        <f t="shared" si="355"/>
        <v>0</v>
      </c>
      <c r="T92" s="77">
        <f t="shared" si="355"/>
        <v>0</v>
      </c>
      <c r="U92" s="78">
        <f t="shared" si="298"/>
        <v>0</v>
      </c>
      <c r="V92" s="79">
        <f t="shared" si="299"/>
        <v>0</v>
      </c>
      <c r="W92" s="79">
        <f t="shared" si="300"/>
        <v>0</v>
      </c>
      <c r="X92" s="80">
        <f t="shared" ref="X92:Y92" si="356">IF(O92&gt;0,O92/K92,0)</f>
        <v>1</v>
      </c>
      <c r="Y92" s="80">
        <f t="shared" si="356"/>
        <v>0</v>
      </c>
      <c r="Z92" s="80">
        <f t="shared" si="5"/>
        <v>0</v>
      </c>
      <c r="AA92" s="81"/>
      <c r="AB92" s="81"/>
      <c r="AC92" s="81"/>
      <c r="AD92" s="81"/>
      <c r="AE92" s="83"/>
      <c r="AF92" s="83"/>
      <c r="AG92" s="83"/>
      <c r="AH92" s="83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>
        <f>10876</f>
        <v>10876</v>
      </c>
      <c r="BI92" s="81"/>
      <c r="BJ92" s="81"/>
      <c r="BK92" s="82">
        <v>10876</v>
      </c>
      <c r="BL92" s="82">
        <v>0</v>
      </c>
      <c r="BM92" s="82">
        <v>0</v>
      </c>
      <c r="BN92" s="81">
        <f t="shared" si="302"/>
        <v>0</v>
      </c>
      <c r="BO92" s="75">
        <f t="shared" si="303"/>
        <v>0</v>
      </c>
      <c r="BP92" s="81">
        <f t="shared" si="304"/>
        <v>0</v>
      </c>
      <c r="BQ92" s="81">
        <f t="shared" si="305"/>
        <v>0</v>
      </c>
      <c r="BR92" s="81">
        <f t="shared" si="306"/>
        <v>0</v>
      </c>
      <c r="BS92" s="81">
        <f t="shared" si="307"/>
        <v>0</v>
      </c>
      <c r="BT92" s="81">
        <f t="shared" si="308"/>
        <v>0</v>
      </c>
      <c r="BU92" s="81">
        <f t="shared" si="309"/>
        <v>0</v>
      </c>
      <c r="BV92" s="81">
        <f t="shared" si="310"/>
        <v>0</v>
      </c>
      <c r="BW92" s="81">
        <f t="shared" si="311"/>
        <v>0</v>
      </c>
      <c r="BX92" s="1"/>
      <c r="BY92" s="1"/>
      <c r="BZ92" s="1"/>
      <c r="CA92" s="1"/>
      <c r="CB92" s="1"/>
      <c r="CC92" s="1"/>
      <c r="CD92" s="1"/>
      <c r="CE92" s="1"/>
      <c r="CF92" s="1"/>
      <c r="CG92" s="1"/>
    </row>
    <row r="93" spans="1:85" ht="15.75" customHeight="1">
      <c r="A93" s="151" t="s">
        <v>290</v>
      </c>
      <c r="B93" s="132"/>
      <c r="C93" s="148" t="s">
        <v>270</v>
      </c>
      <c r="D93" s="149" t="s">
        <v>291</v>
      </c>
      <c r="E93" s="152"/>
      <c r="F93" s="153"/>
      <c r="G93" s="71">
        <f t="shared" si="295"/>
        <v>0</v>
      </c>
      <c r="H93" s="70"/>
      <c r="I93" s="72">
        <f t="shared" si="45"/>
        <v>0</v>
      </c>
      <c r="J93" s="72">
        <f t="shared" si="46"/>
        <v>0</v>
      </c>
      <c r="K93" s="88">
        <f>8428.66</f>
        <v>8428.66</v>
      </c>
      <c r="L93" s="120"/>
      <c r="M93" s="120"/>
      <c r="N93" s="88"/>
      <c r="O93" s="77">
        <f t="shared" ref="O93:Q93" si="357">AA93+AD93+AG93+AJ93+AM93+AP93+AS93+AV93+AY93+BB93+BE93+BH93</f>
        <v>3606.77</v>
      </c>
      <c r="P93" s="77">
        <f t="shared" si="357"/>
        <v>0</v>
      </c>
      <c r="Q93" s="77">
        <f t="shared" si="357"/>
        <v>0</v>
      </c>
      <c r="R93" s="77">
        <f t="shared" ref="R93:T93" si="358">IF(BK93=0,SUM(AA93+AD93+AG93+AJ93+AM93+AP93+AS93+AV93+AY93+BB93+BE93+BH93),BK93)</f>
        <v>3606.77</v>
      </c>
      <c r="S93" s="77">
        <f t="shared" si="358"/>
        <v>0</v>
      </c>
      <c r="T93" s="77">
        <f t="shared" si="358"/>
        <v>0</v>
      </c>
      <c r="U93" s="78">
        <f t="shared" si="298"/>
        <v>4821.8899999999994</v>
      </c>
      <c r="V93" s="79">
        <f t="shared" si="299"/>
        <v>0</v>
      </c>
      <c r="W93" s="79">
        <f t="shared" si="300"/>
        <v>0</v>
      </c>
      <c r="X93" s="80">
        <f t="shared" ref="X93:Y93" si="359">IF(O93&gt;0,O93/K93,0)</f>
        <v>0.42791736764800098</v>
      </c>
      <c r="Y93" s="80">
        <f t="shared" si="359"/>
        <v>0</v>
      </c>
      <c r="Z93" s="80">
        <f t="shared" si="5"/>
        <v>0</v>
      </c>
      <c r="AA93" s="81"/>
      <c r="AB93" s="81"/>
      <c r="AC93" s="81"/>
      <c r="AD93" s="81"/>
      <c r="AE93" s="83"/>
      <c r="AF93" s="83"/>
      <c r="AG93" s="83"/>
      <c r="AH93" s="83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>
        <f>3606.77</f>
        <v>3606.77</v>
      </c>
      <c r="BI93" s="81"/>
      <c r="BJ93" s="81"/>
      <c r="BK93" s="82">
        <v>3606.77</v>
      </c>
      <c r="BL93" s="82">
        <v>0</v>
      </c>
      <c r="BM93" s="82">
        <v>0</v>
      </c>
      <c r="BN93" s="81">
        <f t="shared" si="302"/>
        <v>0</v>
      </c>
      <c r="BO93" s="75">
        <f t="shared" si="303"/>
        <v>0</v>
      </c>
      <c r="BP93" s="81">
        <f t="shared" si="304"/>
        <v>0</v>
      </c>
      <c r="BQ93" s="81">
        <f t="shared" si="305"/>
        <v>4821.8899999999994</v>
      </c>
      <c r="BR93" s="81">
        <f t="shared" si="306"/>
        <v>0</v>
      </c>
      <c r="BS93" s="81">
        <f t="shared" si="307"/>
        <v>4821.8899999999994</v>
      </c>
      <c r="BT93" s="81">
        <f t="shared" si="308"/>
        <v>0</v>
      </c>
      <c r="BU93" s="81">
        <f t="shared" si="309"/>
        <v>0</v>
      </c>
      <c r="BV93" s="81">
        <f t="shared" si="310"/>
        <v>4821.8899999999994</v>
      </c>
      <c r="BW93" s="81">
        <f t="shared" si="311"/>
        <v>4821.8899999999994</v>
      </c>
      <c r="BX93" s="1"/>
      <c r="BY93" s="1"/>
      <c r="BZ93" s="1"/>
      <c r="CA93" s="1"/>
      <c r="CB93" s="1"/>
      <c r="CC93" s="1"/>
      <c r="CD93" s="1"/>
      <c r="CE93" s="1"/>
      <c r="CF93" s="1"/>
      <c r="CG93" s="1"/>
    </row>
    <row r="94" spans="1:85" ht="15.75" customHeight="1">
      <c r="A94" s="154"/>
      <c r="B94" s="85"/>
      <c r="C94" s="148" t="s">
        <v>292</v>
      </c>
      <c r="D94" s="149" t="s">
        <v>293</v>
      </c>
      <c r="E94" s="70">
        <v>75000</v>
      </c>
      <c r="F94" s="71"/>
      <c r="G94" s="71">
        <f t="shared" si="295"/>
        <v>75000</v>
      </c>
      <c r="H94" s="70"/>
      <c r="I94" s="72">
        <f t="shared" si="45"/>
        <v>0</v>
      </c>
      <c r="J94" s="72">
        <f t="shared" si="46"/>
        <v>0</v>
      </c>
      <c r="K94" s="88"/>
      <c r="L94" s="81"/>
      <c r="M94" s="81"/>
      <c r="N94" s="88"/>
      <c r="O94" s="77">
        <f t="shared" ref="O94:Q94" si="360">AA94+AD94+AG94+AJ94+AM94+AP94+AS94+AV94+AY94+BB94+BE94+BH94</f>
        <v>0</v>
      </c>
      <c r="P94" s="77">
        <f t="shared" si="360"/>
        <v>0</v>
      </c>
      <c r="Q94" s="77">
        <f t="shared" si="360"/>
        <v>0</v>
      </c>
      <c r="R94" s="77">
        <f t="shared" ref="R94:T94" si="361">IF(BK94=0,SUM(AA94+AD94+AG94+AJ94+AM94+AP94+AS94+AV94+AY94+BB94+BE94+BH94),BK94)</f>
        <v>0</v>
      </c>
      <c r="S94" s="77">
        <f t="shared" si="361"/>
        <v>0</v>
      </c>
      <c r="T94" s="77">
        <f t="shared" si="361"/>
        <v>0</v>
      </c>
      <c r="U94" s="79">
        <f t="shared" si="298"/>
        <v>0</v>
      </c>
      <c r="V94" s="79">
        <f t="shared" si="299"/>
        <v>0</v>
      </c>
      <c r="W94" s="79">
        <f t="shared" si="300"/>
        <v>0</v>
      </c>
      <c r="X94" s="80">
        <f t="shared" ref="X94:Y94" si="362">IF(O94&gt;0,O94/K94,0)</f>
        <v>0</v>
      </c>
      <c r="Y94" s="80">
        <f t="shared" si="362"/>
        <v>0</v>
      </c>
      <c r="Z94" s="80">
        <f t="shared" si="5"/>
        <v>0</v>
      </c>
      <c r="AA94" s="81"/>
      <c r="AB94" s="81"/>
      <c r="AC94" s="81"/>
      <c r="AD94" s="81"/>
      <c r="AE94" s="83"/>
      <c r="AF94" s="83"/>
      <c r="AG94" s="83"/>
      <c r="AH94" s="83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  <c r="BJ94" s="81"/>
      <c r="BK94" s="82">
        <v>0</v>
      </c>
      <c r="BL94" s="82">
        <v>0</v>
      </c>
      <c r="BM94" s="82">
        <v>0</v>
      </c>
      <c r="BN94" s="81">
        <f t="shared" si="302"/>
        <v>0</v>
      </c>
      <c r="BO94" s="75">
        <f t="shared" si="303"/>
        <v>0</v>
      </c>
      <c r="BP94" s="81">
        <f t="shared" si="304"/>
        <v>0</v>
      </c>
      <c r="BQ94" s="81">
        <f t="shared" si="305"/>
        <v>0</v>
      </c>
      <c r="BR94" s="81">
        <f t="shared" si="306"/>
        <v>0</v>
      </c>
      <c r="BS94" s="81">
        <f t="shared" si="307"/>
        <v>0</v>
      </c>
      <c r="BT94" s="81">
        <f t="shared" si="308"/>
        <v>0</v>
      </c>
      <c r="BU94" s="81">
        <f t="shared" si="309"/>
        <v>0</v>
      </c>
      <c r="BV94" s="81">
        <f t="shared" si="310"/>
        <v>0</v>
      </c>
      <c r="BW94" s="81">
        <f t="shared" si="311"/>
        <v>0</v>
      </c>
      <c r="BX94" s="1"/>
      <c r="BY94" s="1"/>
      <c r="BZ94" s="1"/>
      <c r="CA94" s="1"/>
      <c r="CB94" s="1"/>
      <c r="CC94" s="1"/>
      <c r="CD94" s="1"/>
      <c r="CE94" s="1"/>
      <c r="CF94" s="1"/>
      <c r="CG94" s="1"/>
    </row>
    <row r="95" spans="1:85" ht="15.75" customHeight="1">
      <c r="A95" s="155"/>
      <c r="B95" s="114" t="s">
        <v>294</v>
      </c>
      <c r="C95" s="156" t="s">
        <v>295</v>
      </c>
      <c r="D95" s="157" t="s">
        <v>296</v>
      </c>
      <c r="E95" s="158">
        <v>7000</v>
      </c>
      <c r="F95" s="159"/>
      <c r="G95" s="71">
        <f t="shared" si="295"/>
        <v>7000</v>
      </c>
      <c r="H95" s="70"/>
      <c r="I95" s="72">
        <f t="shared" si="45"/>
        <v>0</v>
      </c>
      <c r="J95" s="72">
        <f t="shared" si="46"/>
        <v>0</v>
      </c>
      <c r="K95" s="88"/>
      <c r="L95" s="120">
        <v>4253.1899999999996</v>
      </c>
      <c r="M95" s="160">
        <v>2959.05</v>
      </c>
      <c r="N95" s="107"/>
      <c r="O95" s="77">
        <f t="shared" ref="O95:Q95" si="363">AA95+AD95+AG95+AJ95+AM95+AP95+AS95+AV95+AY95+BB95+BE95+BH95</f>
        <v>0</v>
      </c>
      <c r="P95" s="77">
        <f t="shared" si="363"/>
        <v>1294.1400000000003</v>
      </c>
      <c r="Q95" s="77">
        <f t="shared" si="363"/>
        <v>0</v>
      </c>
      <c r="R95" s="77">
        <f t="shared" ref="R95:T95" si="364">IF(BK95=0,SUM(AA95+AD95+AG95+AJ95+AM95+AP95+AS95+AV95+AY95+BB95+BE95+BH95),BK95)</f>
        <v>0</v>
      </c>
      <c r="S95" s="77">
        <f t="shared" si="364"/>
        <v>1294.1400000000001</v>
      </c>
      <c r="T95" s="77">
        <f t="shared" si="364"/>
        <v>0</v>
      </c>
      <c r="U95" s="79">
        <f t="shared" si="298"/>
        <v>0</v>
      </c>
      <c r="V95" s="79">
        <f t="shared" si="299"/>
        <v>0</v>
      </c>
      <c r="W95" s="79">
        <f t="shared" si="300"/>
        <v>0</v>
      </c>
      <c r="X95" s="80">
        <f t="shared" ref="X95:Y95" si="365">IF(O95&gt;0,O95/K95,0)</f>
        <v>0</v>
      </c>
      <c r="Y95" s="80">
        <f t="shared" si="365"/>
        <v>0.30427514406833472</v>
      </c>
      <c r="Z95" s="80">
        <f t="shared" si="5"/>
        <v>0</v>
      </c>
      <c r="AA95" s="81"/>
      <c r="AB95" s="81"/>
      <c r="AC95" s="81"/>
      <c r="AD95" s="81"/>
      <c r="AE95" s="128">
        <v>214.82</v>
      </c>
      <c r="AF95" s="83"/>
      <c r="AG95" s="83"/>
      <c r="AH95" s="83"/>
      <c r="AI95" s="81"/>
      <c r="AJ95" s="81"/>
      <c r="AK95" s="81">
        <f>104.41+108.01+10.33</f>
        <v>222.75000000000003</v>
      </c>
      <c r="AL95" s="81"/>
      <c r="AM95" s="81"/>
      <c r="AN95" s="82">
        <v>110.12</v>
      </c>
      <c r="AO95" s="81"/>
      <c r="AP95" s="81"/>
      <c r="AQ95" s="81"/>
      <c r="AR95" s="81"/>
      <c r="AS95" s="81"/>
      <c r="AT95" s="82">
        <f>109.49+126.9</f>
        <v>236.39</v>
      </c>
      <c r="AU95" s="81"/>
      <c r="AV95" s="81"/>
      <c r="AW95" s="82">
        <v>126.9</v>
      </c>
      <c r="AX95" s="81"/>
      <c r="AY95" s="81"/>
      <c r="AZ95" s="81">
        <f>126.9</f>
        <v>126.9</v>
      </c>
      <c r="BA95" s="81"/>
      <c r="BB95" s="81"/>
      <c r="BC95" s="81">
        <f>129.36</f>
        <v>129.36000000000001</v>
      </c>
      <c r="BD95" s="81"/>
      <c r="BE95" s="81"/>
      <c r="BF95" s="82">
        <v>126.9</v>
      </c>
      <c r="BG95" s="81"/>
      <c r="BH95" s="81"/>
      <c r="BI95" s="81"/>
      <c r="BJ95" s="81"/>
      <c r="BK95" s="82">
        <v>0</v>
      </c>
      <c r="BL95" s="82">
        <v>1294.1400000000001</v>
      </c>
      <c r="BM95" s="82">
        <v>0</v>
      </c>
      <c r="BN95" s="81">
        <f t="shared" si="302"/>
        <v>0</v>
      </c>
      <c r="BO95" s="75">
        <f t="shared" si="303"/>
        <v>0</v>
      </c>
      <c r="BP95" s="81">
        <f t="shared" si="304"/>
        <v>0</v>
      </c>
      <c r="BQ95" s="81">
        <f t="shared" si="305"/>
        <v>0</v>
      </c>
      <c r="BR95" s="81">
        <f t="shared" si="306"/>
        <v>0</v>
      </c>
      <c r="BS95" s="81">
        <f t="shared" si="307"/>
        <v>0</v>
      </c>
      <c r="BT95" s="81">
        <f t="shared" si="308"/>
        <v>0</v>
      </c>
      <c r="BU95" s="81">
        <f t="shared" si="309"/>
        <v>0</v>
      </c>
      <c r="BV95" s="81">
        <f t="shared" si="310"/>
        <v>0</v>
      </c>
      <c r="BW95" s="81">
        <f t="shared" si="311"/>
        <v>0</v>
      </c>
      <c r="BX95" s="1"/>
      <c r="BY95" s="1"/>
      <c r="BZ95" s="1"/>
      <c r="CA95" s="1"/>
      <c r="CB95" s="1"/>
      <c r="CC95" s="1"/>
      <c r="CD95" s="1"/>
      <c r="CE95" s="1"/>
      <c r="CF95" s="1"/>
      <c r="CG95" s="1"/>
    </row>
    <row r="96" spans="1:85" ht="15.75" customHeight="1">
      <c r="A96" s="89" t="s">
        <v>297</v>
      </c>
      <c r="B96" s="115" t="s">
        <v>298</v>
      </c>
      <c r="C96" s="148" t="s">
        <v>299</v>
      </c>
      <c r="D96" s="87" t="s">
        <v>300</v>
      </c>
      <c r="E96" s="70">
        <v>8000</v>
      </c>
      <c r="F96" s="71"/>
      <c r="G96" s="71">
        <f t="shared" si="295"/>
        <v>8000</v>
      </c>
      <c r="H96" s="70"/>
      <c r="I96" s="72">
        <f t="shared" si="45"/>
        <v>0.22916250000000002</v>
      </c>
      <c r="J96" s="72">
        <f t="shared" si="46"/>
        <v>0.15978999999999999</v>
      </c>
      <c r="K96" s="73">
        <f>3333.3-2000+2000-1500</f>
        <v>1833.3000000000002</v>
      </c>
      <c r="L96" s="81">
        <v>185.91</v>
      </c>
      <c r="M96" s="82">
        <v>0.63</v>
      </c>
      <c r="N96" s="107"/>
      <c r="O96" s="77">
        <f t="shared" ref="O96:Q96" si="366">AA96+AD96+AG96+AJ96+AM96+AP96+AS96+AV96+AY96+BB96+BE96+BH96</f>
        <v>1278.32</v>
      </c>
      <c r="P96" s="77">
        <f t="shared" si="366"/>
        <v>185.28000000000003</v>
      </c>
      <c r="Q96" s="77">
        <f t="shared" si="366"/>
        <v>0</v>
      </c>
      <c r="R96" s="77">
        <f t="shared" ref="R96:T96" si="367">IF(BK96=0,SUM(AA96+AD96+AG96+AJ96+AM96+AP96+AS96+AV96+AY96+BB96+BE96+BH96),BK96)</f>
        <v>1278.32</v>
      </c>
      <c r="S96" s="77">
        <f t="shared" si="367"/>
        <v>185.28</v>
      </c>
      <c r="T96" s="77">
        <f t="shared" si="367"/>
        <v>0</v>
      </c>
      <c r="U96" s="78">
        <f t="shared" si="298"/>
        <v>554.98000000000025</v>
      </c>
      <c r="V96" s="79">
        <f t="shared" si="299"/>
        <v>0</v>
      </c>
      <c r="W96" s="79">
        <f t="shared" si="300"/>
        <v>0</v>
      </c>
      <c r="X96" s="80">
        <f t="shared" ref="X96:Y96" si="368">IF(O96&gt;0,O96/K96,0)</f>
        <v>0.69727813232967861</v>
      </c>
      <c r="Y96" s="80">
        <f t="shared" si="368"/>
        <v>0.99661126351460405</v>
      </c>
      <c r="Z96" s="80">
        <f t="shared" si="5"/>
        <v>0</v>
      </c>
      <c r="AA96" s="81"/>
      <c r="AB96" s="81"/>
      <c r="AC96" s="81"/>
      <c r="AD96" s="81"/>
      <c r="AE96" s="128">
        <v>92.93</v>
      </c>
      <c r="AF96" s="83"/>
      <c r="AG96" s="83"/>
      <c r="AH96" s="128">
        <v>70.930000000000007</v>
      </c>
      <c r="AI96" s="82"/>
      <c r="AJ96" s="82">
        <v>2.23</v>
      </c>
      <c r="AK96" s="82">
        <v>21.42</v>
      </c>
      <c r="AL96" s="81"/>
      <c r="AM96" s="82">
        <v>66.14</v>
      </c>
      <c r="AN96" s="81"/>
      <c r="AO96" s="81"/>
      <c r="AP96" s="82">
        <v>278.47000000000003</v>
      </c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>
        <f>1376.18</f>
        <v>1376.18</v>
      </c>
      <c r="BC96" s="81"/>
      <c r="BD96" s="81"/>
      <c r="BE96" s="81">
        <f>70.42-658.82</f>
        <v>-588.40000000000009</v>
      </c>
      <c r="BF96" s="81"/>
      <c r="BG96" s="81"/>
      <c r="BH96" s="81">
        <f>143.7</f>
        <v>143.69999999999999</v>
      </c>
      <c r="BI96" s="81"/>
      <c r="BJ96" s="81"/>
      <c r="BK96" s="82">
        <v>1278.32</v>
      </c>
      <c r="BL96" s="82">
        <v>185.28</v>
      </c>
      <c r="BM96" s="82">
        <v>0</v>
      </c>
      <c r="BN96" s="81">
        <f t="shared" si="302"/>
        <v>0</v>
      </c>
      <c r="BO96" s="75">
        <f t="shared" si="303"/>
        <v>0</v>
      </c>
      <c r="BP96" s="81">
        <f t="shared" si="304"/>
        <v>0</v>
      </c>
      <c r="BQ96" s="81">
        <f t="shared" si="305"/>
        <v>554.98000000000025</v>
      </c>
      <c r="BR96" s="81">
        <f t="shared" si="306"/>
        <v>0</v>
      </c>
      <c r="BS96" s="81">
        <f t="shared" si="307"/>
        <v>554.98000000000025</v>
      </c>
      <c r="BT96" s="81">
        <f t="shared" si="308"/>
        <v>0</v>
      </c>
      <c r="BU96" s="81">
        <f t="shared" si="309"/>
        <v>0</v>
      </c>
      <c r="BV96" s="81">
        <f t="shared" si="310"/>
        <v>554.98000000000025</v>
      </c>
      <c r="BW96" s="81">
        <f t="shared" si="311"/>
        <v>554.98000000000025</v>
      </c>
      <c r="BX96" s="1"/>
      <c r="BY96" s="1"/>
      <c r="BZ96" s="1"/>
      <c r="CA96" s="1"/>
      <c r="CB96" s="1"/>
      <c r="CC96" s="1"/>
      <c r="CD96" s="1"/>
      <c r="CE96" s="1"/>
      <c r="CF96" s="1"/>
      <c r="CG96" s="1"/>
    </row>
    <row r="97" spans="1:85" ht="15.75" customHeight="1">
      <c r="A97" s="145"/>
      <c r="B97" s="132" t="s">
        <v>301</v>
      </c>
      <c r="C97" s="148" t="s">
        <v>302</v>
      </c>
      <c r="D97" s="87" t="s">
        <v>303</v>
      </c>
      <c r="E97" s="70"/>
      <c r="F97" s="71"/>
      <c r="G97" s="71">
        <f t="shared" si="295"/>
        <v>0</v>
      </c>
      <c r="H97" s="70"/>
      <c r="I97" s="72">
        <f t="shared" si="45"/>
        <v>0</v>
      </c>
      <c r="J97" s="72">
        <f t="shared" si="46"/>
        <v>0</v>
      </c>
      <c r="K97" s="88"/>
      <c r="L97" s="81">
        <v>28925</v>
      </c>
      <c r="M97" s="81"/>
      <c r="N97" s="107"/>
      <c r="O97" s="77">
        <f t="shared" ref="O97:Q97" si="369">AA97+AD97+AG97+AJ97+AM97+AP97+AS97+AV97+AY97+BB97+BE97+BH97</f>
        <v>0</v>
      </c>
      <c r="P97" s="77">
        <f t="shared" si="369"/>
        <v>28925</v>
      </c>
      <c r="Q97" s="77">
        <f t="shared" si="369"/>
        <v>0</v>
      </c>
      <c r="R97" s="77">
        <f t="shared" ref="R97:T97" si="370">IF(BK97=0,SUM(AA97+AD97+AG97+AJ97+AM97+AP97+AS97+AV97+AY97+BB97+BE97+BH97),BK97)</f>
        <v>0</v>
      </c>
      <c r="S97" s="77">
        <f t="shared" si="370"/>
        <v>28925</v>
      </c>
      <c r="T97" s="77">
        <f t="shared" si="370"/>
        <v>0</v>
      </c>
      <c r="U97" s="79">
        <f t="shared" si="298"/>
        <v>0</v>
      </c>
      <c r="V97" s="79">
        <f t="shared" si="299"/>
        <v>0</v>
      </c>
      <c r="W97" s="79">
        <f t="shared" si="300"/>
        <v>0</v>
      </c>
      <c r="X97" s="80">
        <f t="shared" ref="X97:Y97" si="371">IF(O97&gt;0,O97/K97,0)</f>
        <v>0</v>
      </c>
      <c r="Y97" s="80">
        <f t="shared" si="371"/>
        <v>1</v>
      </c>
      <c r="Z97" s="80">
        <f t="shared" si="5"/>
        <v>0</v>
      </c>
      <c r="AA97" s="81"/>
      <c r="AB97" s="81"/>
      <c r="AC97" s="81"/>
      <c r="AD97" s="81"/>
      <c r="AE97" s="83"/>
      <c r="AF97" s="83"/>
      <c r="AG97" s="83"/>
      <c r="AH97" s="83"/>
      <c r="AI97" s="81"/>
      <c r="AJ97" s="81"/>
      <c r="AK97" s="81"/>
      <c r="AL97" s="81"/>
      <c r="AM97" s="81"/>
      <c r="AN97" s="81"/>
      <c r="AO97" s="81"/>
      <c r="AP97" s="81"/>
      <c r="AQ97" s="82">
        <v>28925</v>
      </c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2">
        <v>0</v>
      </c>
      <c r="BL97" s="82">
        <v>28925</v>
      </c>
      <c r="BM97" s="82">
        <v>0</v>
      </c>
      <c r="BN97" s="81">
        <f t="shared" si="302"/>
        <v>0</v>
      </c>
      <c r="BO97" s="75">
        <f t="shared" si="303"/>
        <v>0</v>
      </c>
      <c r="BP97" s="81">
        <f t="shared" si="304"/>
        <v>0</v>
      </c>
      <c r="BQ97" s="81">
        <f t="shared" si="305"/>
        <v>0</v>
      </c>
      <c r="BR97" s="81">
        <f t="shared" si="306"/>
        <v>0</v>
      </c>
      <c r="BS97" s="81">
        <f t="shared" si="307"/>
        <v>0</v>
      </c>
      <c r="BT97" s="81">
        <f t="shared" si="308"/>
        <v>0</v>
      </c>
      <c r="BU97" s="81">
        <f t="shared" si="309"/>
        <v>0</v>
      </c>
      <c r="BV97" s="81">
        <f t="shared" si="310"/>
        <v>0</v>
      </c>
      <c r="BW97" s="81">
        <f t="shared" si="311"/>
        <v>0</v>
      </c>
      <c r="BX97" s="1"/>
      <c r="BY97" s="1"/>
      <c r="BZ97" s="1"/>
      <c r="CA97" s="1"/>
      <c r="CB97" s="1"/>
      <c r="CC97" s="1"/>
      <c r="CD97" s="1"/>
      <c r="CE97" s="1"/>
      <c r="CF97" s="1"/>
      <c r="CG97" s="1"/>
    </row>
    <row r="98" spans="1:85" ht="15.75" customHeight="1">
      <c r="A98" s="113"/>
      <c r="B98" s="115"/>
      <c r="C98" s="148" t="s">
        <v>304</v>
      </c>
      <c r="D98" s="87" t="s">
        <v>305</v>
      </c>
      <c r="E98" s="70">
        <v>12000</v>
      </c>
      <c r="F98" s="71"/>
      <c r="G98" s="71">
        <f t="shared" si="295"/>
        <v>12000</v>
      </c>
      <c r="H98" s="70"/>
      <c r="I98" s="72">
        <f t="shared" si="45"/>
        <v>0</v>
      </c>
      <c r="J98" s="72">
        <f t="shared" si="46"/>
        <v>0</v>
      </c>
      <c r="K98" s="88"/>
      <c r="L98" s="81"/>
      <c r="M98" s="81"/>
      <c r="N98" s="107"/>
      <c r="O98" s="77">
        <f t="shared" ref="O98:Q98" si="372">AA98+AD98+AG98+AJ98+AM98+AP98+AS98+AV98+AY98+BB98+BE98+BH98</f>
        <v>0</v>
      </c>
      <c r="P98" s="77">
        <f t="shared" si="372"/>
        <v>0</v>
      </c>
      <c r="Q98" s="77">
        <f t="shared" si="372"/>
        <v>0</v>
      </c>
      <c r="R98" s="77">
        <f t="shared" ref="R98:T98" si="373">IF(BK98=0,SUM(AA98+AD98+AG98+AJ98+AM98+AP98+AS98+AV98+AY98+BB98+BE98+BH98),BK98)</f>
        <v>0</v>
      </c>
      <c r="S98" s="77">
        <f t="shared" si="373"/>
        <v>0</v>
      </c>
      <c r="T98" s="77">
        <f t="shared" si="373"/>
        <v>0</v>
      </c>
      <c r="U98" s="79">
        <f t="shared" si="298"/>
        <v>0</v>
      </c>
      <c r="V98" s="79">
        <f t="shared" si="299"/>
        <v>0</v>
      </c>
      <c r="W98" s="79">
        <f t="shared" si="300"/>
        <v>0</v>
      </c>
      <c r="X98" s="80">
        <f t="shared" ref="X98:Y98" si="374">IF(O98&gt;0,O98/K98,0)</f>
        <v>0</v>
      </c>
      <c r="Y98" s="80">
        <f t="shared" si="374"/>
        <v>0</v>
      </c>
      <c r="Z98" s="80">
        <f t="shared" si="5"/>
        <v>0</v>
      </c>
      <c r="AA98" s="81"/>
      <c r="AB98" s="81"/>
      <c r="AC98" s="81"/>
      <c r="AD98" s="81"/>
      <c r="AE98" s="83"/>
      <c r="AF98" s="83"/>
      <c r="AG98" s="83"/>
      <c r="AH98" s="83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2">
        <v>0</v>
      </c>
      <c r="BL98" s="82">
        <v>0</v>
      </c>
      <c r="BM98" s="82">
        <v>0</v>
      </c>
      <c r="BN98" s="81">
        <f t="shared" si="302"/>
        <v>0</v>
      </c>
      <c r="BO98" s="75">
        <f t="shared" si="303"/>
        <v>0</v>
      </c>
      <c r="BP98" s="81">
        <f t="shared" si="304"/>
        <v>0</v>
      </c>
      <c r="BQ98" s="81">
        <f t="shared" si="305"/>
        <v>0</v>
      </c>
      <c r="BR98" s="81">
        <f t="shared" si="306"/>
        <v>0</v>
      </c>
      <c r="BS98" s="81">
        <f t="shared" si="307"/>
        <v>0</v>
      </c>
      <c r="BT98" s="81">
        <f t="shared" si="308"/>
        <v>0</v>
      </c>
      <c r="BU98" s="81">
        <f t="shared" si="309"/>
        <v>0</v>
      </c>
      <c r="BV98" s="81">
        <f t="shared" si="310"/>
        <v>0</v>
      </c>
      <c r="BW98" s="81">
        <f t="shared" si="311"/>
        <v>0</v>
      </c>
      <c r="BX98" s="1"/>
      <c r="BY98" s="1"/>
      <c r="BZ98" s="1"/>
      <c r="CA98" s="1"/>
      <c r="CB98" s="1"/>
      <c r="CC98" s="1"/>
      <c r="CD98" s="1"/>
      <c r="CE98" s="1"/>
      <c r="CF98" s="1"/>
      <c r="CG98" s="1"/>
    </row>
    <row r="99" spans="1:85" ht="15.75" customHeight="1">
      <c r="A99" s="125" t="s">
        <v>306</v>
      </c>
      <c r="B99" s="115"/>
      <c r="C99" s="148" t="s">
        <v>307</v>
      </c>
      <c r="D99" s="126" t="s">
        <v>308</v>
      </c>
      <c r="E99" s="70">
        <v>50000</v>
      </c>
      <c r="F99" s="71"/>
      <c r="G99" s="71">
        <f t="shared" si="295"/>
        <v>50000</v>
      </c>
      <c r="H99" s="70"/>
      <c r="I99" s="72">
        <f t="shared" si="45"/>
        <v>0.21515999999999999</v>
      </c>
      <c r="J99" s="72">
        <f t="shared" si="46"/>
        <v>0.21515999999999999</v>
      </c>
      <c r="K99" s="73">
        <v>10758</v>
      </c>
      <c r="L99" s="81"/>
      <c r="M99" s="81"/>
      <c r="N99" s="107"/>
      <c r="O99" s="77">
        <f t="shared" ref="O99:Q99" si="375">AA99+AD99+AG99+AJ99+AM99+AP99+AS99+AV99+AY99+BB99+BE99+BH99</f>
        <v>10758</v>
      </c>
      <c r="P99" s="77">
        <f t="shared" si="375"/>
        <v>0</v>
      </c>
      <c r="Q99" s="77">
        <f t="shared" si="375"/>
        <v>0</v>
      </c>
      <c r="R99" s="77">
        <f t="shared" ref="R99:T99" si="376">IF(BK99=0,SUM(AA99+AD99+AG99+AJ99+AM99+AP99+AS99+AV99+AY99+BB99+BE99+BH99),BK99)</f>
        <v>10758</v>
      </c>
      <c r="S99" s="77">
        <f t="shared" si="376"/>
        <v>0</v>
      </c>
      <c r="T99" s="77">
        <f t="shared" si="376"/>
        <v>0</v>
      </c>
      <c r="U99" s="79">
        <f t="shared" si="298"/>
        <v>0</v>
      </c>
      <c r="V99" s="79">
        <f t="shared" si="299"/>
        <v>0</v>
      </c>
      <c r="W99" s="79">
        <f t="shared" si="300"/>
        <v>0</v>
      </c>
      <c r="X99" s="80">
        <f t="shared" ref="X99:Y99" si="377">IF(O99&gt;0,O99/K99,0)</f>
        <v>1</v>
      </c>
      <c r="Y99" s="80">
        <f t="shared" si="377"/>
        <v>0</v>
      </c>
      <c r="Z99" s="80">
        <f t="shared" si="5"/>
        <v>0</v>
      </c>
      <c r="AA99" s="81"/>
      <c r="AB99" s="81"/>
      <c r="AC99" s="81"/>
      <c r="AD99" s="81"/>
      <c r="AE99" s="83"/>
      <c r="AF99" s="83"/>
      <c r="AG99" s="83"/>
      <c r="AH99" s="83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2">
        <v>10758</v>
      </c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2">
        <v>10758</v>
      </c>
      <c r="BL99" s="82">
        <v>0</v>
      </c>
      <c r="BM99" s="82">
        <v>0</v>
      </c>
      <c r="BN99" s="81">
        <f t="shared" si="302"/>
        <v>0</v>
      </c>
      <c r="BO99" s="75">
        <f t="shared" si="303"/>
        <v>0</v>
      </c>
      <c r="BP99" s="81">
        <f t="shared" si="304"/>
        <v>0</v>
      </c>
      <c r="BQ99" s="81">
        <f t="shared" si="305"/>
        <v>0</v>
      </c>
      <c r="BR99" s="81">
        <f t="shared" si="306"/>
        <v>0</v>
      </c>
      <c r="BS99" s="81">
        <f t="shared" si="307"/>
        <v>0</v>
      </c>
      <c r="BT99" s="81">
        <f t="shared" si="308"/>
        <v>0</v>
      </c>
      <c r="BU99" s="81">
        <f t="shared" si="309"/>
        <v>0</v>
      </c>
      <c r="BV99" s="81">
        <f t="shared" si="310"/>
        <v>0</v>
      </c>
      <c r="BW99" s="81">
        <f t="shared" si="311"/>
        <v>0</v>
      </c>
      <c r="BX99" s="1"/>
      <c r="BY99" s="1"/>
      <c r="BZ99" s="1"/>
      <c r="CA99" s="1"/>
      <c r="CB99" s="1"/>
      <c r="CC99" s="1"/>
      <c r="CD99" s="1"/>
      <c r="CE99" s="1"/>
      <c r="CF99" s="1"/>
      <c r="CG99" s="1"/>
    </row>
    <row r="100" spans="1:85" ht="15.75" customHeight="1">
      <c r="A100" s="125" t="s">
        <v>309</v>
      </c>
      <c r="B100" s="85" t="s">
        <v>310</v>
      </c>
      <c r="C100" s="86" t="s">
        <v>311</v>
      </c>
      <c r="D100" s="87" t="s">
        <v>312</v>
      </c>
      <c r="E100" s="70">
        <v>15000</v>
      </c>
      <c r="F100" s="71"/>
      <c r="G100" s="71">
        <f t="shared" si="295"/>
        <v>15000</v>
      </c>
      <c r="H100" s="70"/>
      <c r="I100" s="72">
        <f t="shared" si="45"/>
        <v>0.4845726666666666</v>
      </c>
      <c r="J100" s="72">
        <f t="shared" si="46"/>
        <v>7.6285999999999993E-2</v>
      </c>
      <c r="K100" s="73">
        <f>10383.71-3115.12</f>
        <v>7268.5899999999992</v>
      </c>
      <c r="L100" s="81">
        <v>4129.49</v>
      </c>
      <c r="M100" s="82">
        <f>519.61-519.61</f>
        <v>0</v>
      </c>
      <c r="N100" s="107"/>
      <c r="O100" s="77">
        <f t="shared" ref="O100:Q100" si="378">AA100+AD100+AG100+AJ100+AM100+AP100+AS100+AV100+AY100+BB100+BE100+BH100</f>
        <v>1144.29</v>
      </c>
      <c r="P100" s="77">
        <f t="shared" si="378"/>
        <v>4129.49</v>
      </c>
      <c r="Q100" s="77">
        <f t="shared" si="378"/>
        <v>0</v>
      </c>
      <c r="R100" s="77">
        <f t="shared" ref="R100:T100" si="379">IF(BK100=0,SUM(AA100+AD100+AG100+AJ100+AM100+AP100+AS100+AV100+AY100+BB100+BE100+BH100),BK100)</f>
        <v>1144.29</v>
      </c>
      <c r="S100" s="77">
        <f t="shared" si="379"/>
        <v>4129.49</v>
      </c>
      <c r="T100" s="77">
        <f t="shared" si="379"/>
        <v>0</v>
      </c>
      <c r="U100" s="78">
        <f t="shared" si="298"/>
        <v>6124.2999999999993</v>
      </c>
      <c r="V100" s="79">
        <f t="shared" si="299"/>
        <v>0</v>
      </c>
      <c r="W100" s="79">
        <f t="shared" si="300"/>
        <v>0</v>
      </c>
      <c r="X100" s="80">
        <f t="shared" ref="X100:Y100" si="380">IF(O100&gt;0,O100/K100,0)</f>
        <v>0.15742943266850931</v>
      </c>
      <c r="Y100" s="80">
        <f t="shared" si="380"/>
        <v>1</v>
      </c>
      <c r="Z100" s="80">
        <f t="shared" si="5"/>
        <v>0</v>
      </c>
      <c r="AA100" s="81"/>
      <c r="AB100" s="82">
        <v>3609.88</v>
      </c>
      <c r="AC100" s="81"/>
      <c r="AD100" s="81"/>
      <c r="AE100" s="83"/>
      <c r="AF100" s="83"/>
      <c r="AG100" s="83"/>
      <c r="AH100" s="83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2">
        <v>1144.29</v>
      </c>
      <c r="AW100" s="82">
        <v>519.61</v>
      </c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2">
        <v>1144.29</v>
      </c>
      <c r="BL100" s="82">
        <v>4129.49</v>
      </c>
      <c r="BM100" s="82">
        <v>0</v>
      </c>
      <c r="BN100" s="81">
        <f t="shared" si="302"/>
        <v>0</v>
      </c>
      <c r="BO100" s="75">
        <f t="shared" si="303"/>
        <v>0</v>
      </c>
      <c r="BP100" s="81">
        <f t="shared" si="304"/>
        <v>0</v>
      </c>
      <c r="BQ100" s="81">
        <f t="shared" si="305"/>
        <v>6124.2999999999993</v>
      </c>
      <c r="BR100" s="81">
        <f t="shared" si="306"/>
        <v>0</v>
      </c>
      <c r="BS100" s="81">
        <f t="shared" si="307"/>
        <v>6124.2999999999993</v>
      </c>
      <c r="BT100" s="81">
        <f t="shared" si="308"/>
        <v>0</v>
      </c>
      <c r="BU100" s="81">
        <f t="shared" si="309"/>
        <v>0</v>
      </c>
      <c r="BV100" s="81">
        <f t="shared" si="310"/>
        <v>6124.2999999999993</v>
      </c>
      <c r="BW100" s="81">
        <f t="shared" si="311"/>
        <v>6124.2999999999993</v>
      </c>
      <c r="BX100" s="1"/>
      <c r="BY100" s="1"/>
      <c r="BZ100" s="1"/>
      <c r="CA100" s="1"/>
      <c r="CB100" s="1"/>
      <c r="CC100" s="1"/>
      <c r="CD100" s="1"/>
      <c r="CE100" s="1"/>
      <c r="CF100" s="1"/>
      <c r="CG100" s="1"/>
    </row>
    <row r="101" spans="1:85" ht="15" customHeight="1">
      <c r="A101" s="89" t="s">
        <v>313</v>
      </c>
      <c r="B101" s="85"/>
      <c r="C101" s="86" t="s">
        <v>311</v>
      </c>
      <c r="D101" s="126" t="s">
        <v>314</v>
      </c>
      <c r="E101" s="70"/>
      <c r="F101" s="71"/>
      <c r="G101" s="71">
        <f t="shared" si="295"/>
        <v>0</v>
      </c>
      <c r="H101" s="70"/>
      <c r="I101" s="72">
        <f t="shared" si="45"/>
        <v>0</v>
      </c>
      <c r="J101" s="72">
        <f t="shared" si="46"/>
        <v>0</v>
      </c>
      <c r="K101" s="73">
        <f>14737.8-9667.8</f>
        <v>5070</v>
      </c>
      <c r="L101" s="81"/>
      <c r="M101" s="81"/>
      <c r="N101" s="88"/>
      <c r="O101" s="77">
        <f t="shared" ref="O101:Q101" si="381">AA101+AD101+AG101+AJ101+AM101+AP101+AS101+AV101+AY101+BB101+BE101+BH101</f>
        <v>5070</v>
      </c>
      <c r="P101" s="77">
        <f t="shared" si="381"/>
        <v>0</v>
      </c>
      <c r="Q101" s="77">
        <f t="shared" si="381"/>
        <v>0</v>
      </c>
      <c r="R101" s="77">
        <f t="shared" ref="R101:T101" si="382">IF(BK101=0,SUM(AA101+AD101+AG101+AJ101+AM101+AP101+AS101+AV101+AY101+BB101+BE101+BH101),BK101)</f>
        <v>5070</v>
      </c>
      <c r="S101" s="77">
        <f t="shared" si="382"/>
        <v>0</v>
      </c>
      <c r="T101" s="77">
        <f t="shared" si="382"/>
        <v>0</v>
      </c>
      <c r="U101" s="78">
        <f t="shared" si="298"/>
        <v>0</v>
      </c>
      <c r="V101" s="79">
        <f t="shared" si="299"/>
        <v>0</v>
      </c>
      <c r="W101" s="79">
        <f t="shared" si="300"/>
        <v>0</v>
      </c>
      <c r="X101" s="80">
        <f t="shared" ref="X101:Y101" si="383">IF(O101&gt;0,O101/K101,0)</f>
        <v>1</v>
      </c>
      <c r="Y101" s="80">
        <f t="shared" si="383"/>
        <v>0</v>
      </c>
      <c r="Z101" s="80">
        <f t="shared" si="5"/>
        <v>0</v>
      </c>
      <c r="AA101" s="81"/>
      <c r="AB101" s="82"/>
      <c r="AC101" s="81"/>
      <c r="AD101" s="81"/>
      <c r="AE101" s="83"/>
      <c r="AF101" s="83"/>
      <c r="AG101" s="83"/>
      <c r="AH101" s="128"/>
      <c r="AI101" s="82"/>
      <c r="AJ101" s="81"/>
      <c r="AK101" s="82"/>
      <c r="AL101" s="81"/>
      <c r="AM101" s="82">
        <v>5070</v>
      </c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2">
        <v>5070</v>
      </c>
      <c r="BL101" s="82">
        <v>0</v>
      </c>
      <c r="BM101" s="82">
        <v>0</v>
      </c>
      <c r="BN101" s="81">
        <f t="shared" si="302"/>
        <v>0</v>
      </c>
      <c r="BO101" s="75">
        <f t="shared" si="303"/>
        <v>0</v>
      </c>
      <c r="BP101" s="81">
        <f t="shared" si="304"/>
        <v>0</v>
      </c>
      <c r="BQ101" s="81">
        <f t="shared" si="305"/>
        <v>0</v>
      </c>
      <c r="BR101" s="81">
        <f t="shared" si="306"/>
        <v>0</v>
      </c>
      <c r="BS101" s="81">
        <f t="shared" si="307"/>
        <v>0</v>
      </c>
      <c r="BT101" s="81">
        <f t="shared" si="308"/>
        <v>0</v>
      </c>
      <c r="BU101" s="81">
        <f t="shared" si="309"/>
        <v>0</v>
      </c>
      <c r="BV101" s="81">
        <f t="shared" si="310"/>
        <v>0</v>
      </c>
      <c r="BW101" s="81">
        <f t="shared" si="311"/>
        <v>0</v>
      </c>
      <c r="BX101" s="1"/>
      <c r="BY101" s="1"/>
      <c r="BZ101" s="1"/>
      <c r="CA101" s="1"/>
      <c r="CB101" s="1"/>
      <c r="CC101" s="1"/>
      <c r="CD101" s="1"/>
      <c r="CE101" s="1"/>
      <c r="CF101" s="1"/>
      <c r="CG101" s="1"/>
    </row>
    <row r="102" spans="1:85" ht="15.75" customHeight="1">
      <c r="A102" s="84"/>
      <c r="B102" s="115"/>
      <c r="C102" s="86" t="s">
        <v>315</v>
      </c>
      <c r="D102" s="87" t="s">
        <v>316</v>
      </c>
      <c r="E102" s="70">
        <v>6000</v>
      </c>
      <c r="F102" s="71"/>
      <c r="G102" s="71">
        <f t="shared" si="295"/>
        <v>6000</v>
      </c>
      <c r="H102" s="70"/>
      <c r="I102" s="72">
        <f t="shared" si="45"/>
        <v>0</v>
      </c>
      <c r="J102" s="72">
        <f t="shared" si="46"/>
        <v>0</v>
      </c>
      <c r="K102" s="88"/>
      <c r="L102" s="81"/>
      <c r="M102" s="81"/>
      <c r="N102" s="88"/>
      <c r="O102" s="77">
        <f t="shared" ref="O102:Q102" si="384">AA102+AD102+AG102+AJ102+AM102+AP102+AS102+AV102+AY102+BB102+BE102+BH102</f>
        <v>0</v>
      </c>
      <c r="P102" s="77">
        <f t="shared" si="384"/>
        <v>0</v>
      </c>
      <c r="Q102" s="77">
        <f t="shared" si="384"/>
        <v>0</v>
      </c>
      <c r="R102" s="77">
        <f t="shared" ref="R102:T102" si="385">IF(BK102=0,SUM(AA102+AD102+AG102+AJ102+AM102+AP102+AS102+AV102+AY102+BB102+BE102+BH102),BK102)</f>
        <v>0</v>
      </c>
      <c r="S102" s="77">
        <f t="shared" si="385"/>
        <v>0</v>
      </c>
      <c r="T102" s="77">
        <f t="shared" si="385"/>
        <v>0</v>
      </c>
      <c r="U102" s="79">
        <f t="shared" si="298"/>
        <v>0</v>
      </c>
      <c r="V102" s="79">
        <f t="shared" si="299"/>
        <v>0</v>
      </c>
      <c r="W102" s="79">
        <f t="shared" si="300"/>
        <v>0</v>
      </c>
      <c r="X102" s="80">
        <f t="shared" ref="X102:Y102" si="386">IF(O102&gt;0,O102/K102,0)</f>
        <v>0</v>
      </c>
      <c r="Y102" s="80">
        <f t="shared" si="386"/>
        <v>0</v>
      </c>
      <c r="Z102" s="80">
        <f t="shared" si="5"/>
        <v>0</v>
      </c>
      <c r="AA102" s="81"/>
      <c r="AB102" s="81"/>
      <c r="AC102" s="81"/>
      <c r="AD102" s="81"/>
      <c r="AE102" s="83"/>
      <c r="AF102" s="83"/>
      <c r="AG102" s="83"/>
      <c r="AH102" s="83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2">
        <v>0</v>
      </c>
      <c r="BL102" s="82">
        <v>0</v>
      </c>
      <c r="BM102" s="82">
        <v>0</v>
      </c>
      <c r="BN102" s="81">
        <f t="shared" si="302"/>
        <v>0</v>
      </c>
      <c r="BO102" s="75">
        <f t="shared" si="303"/>
        <v>0</v>
      </c>
      <c r="BP102" s="81">
        <f t="shared" si="304"/>
        <v>0</v>
      </c>
      <c r="BQ102" s="81">
        <f t="shared" si="305"/>
        <v>0</v>
      </c>
      <c r="BR102" s="81">
        <f t="shared" si="306"/>
        <v>0</v>
      </c>
      <c r="BS102" s="81">
        <f t="shared" si="307"/>
        <v>0</v>
      </c>
      <c r="BT102" s="81">
        <f t="shared" si="308"/>
        <v>0</v>
      </c>
      <c r="BU102" s="81">
        <f t="shared" si="309"/>
        <v>0</v>
      </c>
      <c r="BV102" s="81">
        <f t="shared" si="310"/>
        <v>0</v>
      </c>
      <c r="BW102" s="81">
        <f t="shared" si="311"/>
        <v>0</v>
      </c>
      <c r="BX102" s="1"/>
      <c r="BY102" s="1"/>
      <c r="BZ102" s="1"/>
      <c r="CA102" s="1"/>
      <c r="CB102" s="1"/>
      <c r="CC102" s="1"/>
      <c r="CD102" s="1"/>
      <c r="CE102" s="1"/>
      <c r="CF102" s="1"/>
      <c r="CG102" s="1"/>
    </row>
    <row r="103" spans="1:85" ht="15" customHeight="1">
      <c r="A103" s="108"/>
      <c r="B103" s="161" t="s">
        <v>317</v>
      </c>
      <c r="C103" s="162" t="s">
        <v>318</v>
      </c>
      <c r="D103" s="92" t="s">
        <v>319</v>
      </c>
      <c r="E103" s="70">
        <v>10000</v>
      </c>
      <c r="F103" s="71"/>
      <c r="G103" s="71">
        <f t="shared" si="295"/>
        <v>10000</v>
      </c>
      <c r="H103" s="70"/>
      <c r="I103" s="72">
        <f t="shared" si="45"/>
        <v>0</v>
      </c>
      <c r="J103" s="72">
        <f t="shared" si="46"/>
        <v>0</v>
      </c>
      <c r="K103" s="88"/>
      <c r="L103" s="81">
        <v>3700.55</v>
      </c>
      <c r="M103" s="82">
        <f>2648.55-2648.55</f>
        <v>0</v>
      </c>
      <c r="N103" s="88"/>
      <c r="O103" s="77">
        <f t="shared" ref="O103:Q103" si="387">AA103+AD103+AG103+AJ103+AM103+AP103+AS103+AV103+AY103+BB103+BE103+BH103</f>
        <v>0</v>
      </c>
      <c r="P103" s="77">
        <f t="shared" si="387"/>
        <v>1157.2</v>
      </c>
      <c r="Q103" s="77">
        <f t="shared" si="387"/>
        <v>0</v>
      </c>
      <c r="R103" s="77">
        <f t="shared" ref="R103:T103" si="388">IF(BK103=0,SUM(AA103+AD103+AG103+AJ103+AM103+AP103+AS103+AV103+AY103+BB103+BE103+BH103),BK103)</f>
        <v>0</v>
      </c>
      <c r="S103" s="77">
        <f t="shared" si="388"/>
        <v>1157.2</v>
      </c>
      <c r="T103" s="77">
        <f t="shared" si="388"/>
        <v>0</v>
      </c>
      <c r="U103" s="79">
        <f t="shared" si="298"/>
        <v>0</v>
      </c>
      <c r="V103" s="79">
        <f t="shared" si="299"/>
        <v>2543.3500000000004</v>
      </c>
      <c r="W103" s="79">
        <f t="shared" si="300"/>
        <v>0</v>
      </c>
      <c r="X103" s="80">
        <f t="shared" ref="X103:Y103" si="389">IF(O103&gt;0,O103/K103,0)</f>
        <v>0</v>
      </c>
      <c r="Y103" s="80">
        <f t="shared" si="389"/>
        <v>0.31271027279728686</v>
      </c>
      <c r="Z103" s="80">
        <f t="shared" si="5"/>
        <v>0</v>
      </c>
      <c r="AA103" s="81"/>
      <c r="AB103" s="82">
        <v>263</v>
      </c>
      <c r="AC103" s="81"/>
      <c r="AD103" s="81"/>
      <c r="AE103" s="83"/>
      <c r="AF103" s="83"/>
      <c r="AG103" s="83"/>
      <c r="AH103" s="128">
        <v>420.8</v>
      </c>
      <c r="AI103" s="82"/>
      <c r="AJ103" s="81"/>
      <c r="AK103" s="82">
        <v>131.5</v>
      </c>
      <c r="AL103" s="81"/>
      <c r="AM103" s="81"/>
      <c r="AN103" s="81"/>
      <c r="AO103" s="81"/>
      <c r="AP103" s="81"/>
      <c r="AQ103" s="82">
        <v>236.7</v>
      </c>
      <c r="AR103" s="81"/>
      <c r="AS103" s="81"/>
      <c r="AT103" s="81"/>
      <c r="AU103" s="81"/>
      <c r="AV103" s="81"/>
      <c r="AW103" s="81"/>
      <c r="AX103" s="81"/>
      <c r="AY103" s="81"/>
      <c r="AZ103" s="81">
        <f>105.2</f>
        <v>105.2</v>
      </c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2">
        <v>0</v>
      </c>
      <c r="BL103" s="82">
        <v>1157.2</v>
      </c>
      <c r="BM103" s="82">
        <v>0</v>
      </c>
      <c r="BN103" s="81">
        <f t="shared" si="302"/>
        <v>0</v>
      </c>
      <c r="BO103" s="75">
        <f t="shared" si="303"/>
        <v>0</v>
      </c>
      <c r="BP103" s="81">
        <f t="shared" si="304"/>
        <v>0</v>
      </c>
      <c r="BQ103" s="81">
        <f t="shared" si="305"/>
        <v>0</v>
      </c>
      <c r="BR103" s="81">
        <f t="shared" si="306"/>
        <v>0</v>
      </c>
      <c r="BS103" s="81">
        <f t="shared" si="307"/>
        <v>0</v>
      </c>
      <c r="BT103" s="138">
        <f t="shared" si="308"/>
        <v>2543.3500000000004</v>
      </c>
      <c r="BU103" s="81">
        <f t="shared" si="309"/>
        <v>0</v>
      </c>
      <c r="BV103" s="81">
        <f t="shared" si="310"/>
        <v>0</v>
      </c>
      <c r="BW103" s="81">
        <f t="shared" si="311"/>
        <v>2543.3500000000004</v>
      </c>
      <c r="BX103" s="1"/>
      <c r="BY103" s="1"/>
      <c r="BZ103" s="1"/>
      <c r="CA103" s="1"/>
      <c r="CB103" s="1"/>
      <c r="CC103" s="1"/>
      <c r="CD103" s="1"/>
      <c r="CE103" s="1"/>
      <c r="CF103" s="1"/>
      <c r="CG103" s="1"/>
    </row>
    <row r="104" spans="1:85" ht="15.75">
      <c r="A104" s="109"/>
      <c r="B104" s="110"/>
      <c r="C104" s="111"/>
      <c r="D104" s="112" t="s">
        <v>320</v>
      </c>
      <c r="E104" s="58">
        <f t="shared" ref="E104:H104" si="390">SUM(E105:E107)</f>
        <v>293000</v>
      </c>
      <c r="F104" s="59">
        <f t="shared" si="390"/>
        <v>0</v>
      </c>
      <c r="G104" s="59">
        <f t="shared" si="390"/>
        <v>293000</v>
      </c>
      <c r="H104" s="59">
        <f t="shared" si="390"/>
        <v>0</v>
      </c>
      <c r="I104" s="60">
        <f t="shared" si="45"/>
        <v>0.54074836177474406</v>
      </c>
      <c r="J104" s="60">
        <f t="shared" si="46"/>
        <v>0.48034709897610928</v>
      </c>
      <c r="K104" s="59">
        <f t="shared" ref="K104:W104" si="391">SUM(K105:K107)</f>
        <v>158439.27000000002</v>
      </c>
      <c r="L104" s="59">
        <f t="shared" si="391"/>
        <v>133348.22</v>
      </c>
      <c r="M104" s="59">
        <f t="shared" si="391"/>
        <v>0</v>
      </c>
      <c r="N104" s="59">
        <f t="shared" si="391"/>
        <v>0</v>
      </c>
      <c r="O104" s="59">
        <f t="shared" si="391"/>
        <v>140741.70000000001</v>
      </c>
      <c r="P104" s="59">
        <f t="shared" si="391"/>
        <v>133348.22</v>
      </c>
      <c r="Q104" s="59">
        <f t="shared" si="391"/>
        <v>0</v>
      </c>
      <c r="R104" s="59">
        <f t="shared" si="391"/>
        <v>140741.70000000001</v>
      </c>
      <c r="S104" s="59">
        <f t="shared" si="391"/>
        <v>133348.22</v>
      </c>
      <c r="T104" s="59">
        <f t="shared" si="391"/>
        <v>0</v>
      </c>
      <c r="U104" s="59">
        <f t="shared" si="391"/>
        <v>17697.57</v>
      </c>
      <c r="V104" s="59">
        <f t="shared" si="391"/>
        <v>0</v>
      </c>
      <c r="W104" s="59">
        <f t="shared" si="391"/>
        <v>0</v>
      </c>
      <c r="X104" s="63">
        <f t="shared" ref="X104:Y104" si="392">IF(O104&gt;0,O104/K104,0)</f>
        <v>0.88830060880739981</v>
      </c>
      <c r="Y104" s="63">
        <f t="shared" si="392"/>
        <v>1</v>
      </c>
      <c r="Z104" s="63">
        <f t="shared" si="5"/>
        <v>0</v>
      </c>
      <c r="AA104" s="59">
        <f t="shared" ref="AA104:BW104" si="393">SUM(AA105:AA107)</f>
        <v>0</v>
      </c>
      <c r="AB104" s="59">
        <f t="shared" si="393"/>
        <v>32059.89</v>
      </c>
      <c r="AC104" s="59">
        <f t="shared" si="393"/>
        <v>0</v>
      </c>
      <c r="AD104" s="59">
        <f t="shared" si="393"/>
        <v>135.97999999999999</v>
      </c>
      <c r="AE104" s="59">
        <f t="shared" si="393"/>
        <v>31861.109999999997</v>
      </c>
      <c r="AF104" s="59">
        <f t="shared" si="393"/>
        <v>0</v>
      </c>
      <c r="AG104" s="59">
        <f t="shared" si="393"/>
        <v>710.07</v>
      </c>
      <c r="AH104" s="59">
        <f t="shared" si="393"/>
        <v>64242.91</v>
      </c>
      <c r="AI104" s="59">
        <f t="shared" si="393"/>
        <v>0</v>
      </c>
      <c r="AJ104" s="59">
        <f t="shared" si="393"/>
        <v>228.6</v>
      </c>
      <c r="AK104" s="59">
        <f t="shared" si="393"/>
        <v>5184.3100000000004</v>
      </c>
      <c r="AL104" s="59">
        <f t="shared" si="393"/>
        <v>0</v>
      </c>
      <c r="AM104" s="59">
        <f t="shared" si="393"/>
        <v>0</v>
      </c>
      <c r="AN104" s="59">
        <f t="shared" si="393"/>
        <v>0</v>
      </c>
      <c r="AO104" s="59">
        <f t="shared" si="393"/>
        <v>0</v>
      </c>
      <c r="AP104" s="59">
        <f t="shared" si="393"/>
        <v>52139.29</v>
      </c>
      <c r="AQ104" s="59">
        <f t="shared" si="393"/>
        <v>0</v>
      </c>
      <c r="AR104" s="59">
        <f t="shared" si="393"/>
        <v>0</v>
      </c>
      <c r="AS104" s="59">
        <f t="shared" si="393"/>
        <v>0</v>
      </c>
      <c r="AT104" s="59">
        <f t="shared" si="393"/>
        <v>0</v>
      </c>
      <c r="AU104" s="59">
        <f t="shared" si="393"/>
        <v>0</v>
      </c>
      <c r="AV104" s="59">
        <f t="shared" si="393"/>
        <v>33122.78</v>
      </c>
      <c r="AW104" s="59">
        <f t="shared" si="393"/>
        <v>0</v>
      </c>
      <c r="AX104" s="59">
        <f t="shared" si="393"/>
        <v>0</v>
      </c>
      <c r="AY104" s="59">
        <f t="shared" si="393"/>
        <v>2984.6400000000003</v>
      </c>
      <c r="AZ104" s="59">
        <f t="shared" si="393"/>
        <v>0</v>
      </c>
      <c r="BA104" s="59">
        <f t="shared" si="393"/>
        <v>0</v>
      </c>
      <c r="BB104" s="59">
        <f t="shared" si="393"/>
        <v>51168.56</v>
      </c>
      <c r="BC104" s="59">
        <f t="shared" si="393"/>
        <v>0</v>
      </c>
      <c r="BD104" s="59">
        <f t="shared" si="393"/>
        <v>0</v>
      </c>
      <c r="BE104" s="59">
        <f t="shared" si="393"/>
        <v>251.78</v>
      </c>
      <c r="BF104" s="59">
        <f t="shared" si="393"/>
        <v>0</v>
      </c>
      <c r="BG104" s="59">
        <f t="shared" si="393"/>
        <v>0</v>
      </c>
      <c r="BH104" s="59">
        <f t="shared" si="393"/>
        <v>0</v>
      </c>
      <c r="BI104" s="59">
        <f t="shared" si="393"/>
        <v>0</v>
      </c>
      <c r="BJ104" s="59">
        <f t="shared" si="393"/>
        <v>0</v>
      </c>
      <c r="BK104" s="59">
        <f t="shared" si="393"/>
        <v>140741.70000000001</v>
      </c>
      <c r="BL104" s="59">
        <f t="shared" si="393"/>
        <v>133348.22</v>
      </c>
      <c r="BM104" s="59">
        <f t="shared" si="393"/>
        <v>0</v>
      </c>
      <c r="BN104" s="59">
        <f t="shared" si="393"/>
        <v>0</v>
      </c>
      <c r="BO104" s="59">
        <f t="shared" si="393"/>
        <v>0</v>
      </c>
      <c r="BP104" s="59">
        <f t="shared" si="393"/>
        <v>0</v>
      </c>
      <c r="BQ104" s="59">
        <f t="shared" si="393"/>
        <v>17697.57</v>
      </c>
      <c r="BR104" s="59">
        <f t="shared" si="393"/>
        <v>0</v>
      </c>
      <c r="BS104" s="59">
        <f t="shared" si="393"/>
        <v>17697.57</v>
      </c>
      <c r="BT104" s="59">
        <f t="shared" si="393"/>
        <v>0</v>
      </c>
      <c r="BU104" s="59">
        <f t="shared" si="393"/>
        <v>0</v>
      </c>
      <c r="BV104" s="59">
        <f t="shared" si="393"/>
        <v>17697.57</v>
      </c>
      <c r="BW104" s="59">
        <f t="shared" si="393"/>
        <v>17697.57</v>
      </c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</row>
    <row r="105" spans="1:85" ht="15.75" customHeight="1">
      <c r="A105" s="151" t="s">
        <v>321</v>
      </c>
      <c r="B105" s="114" t="s">
        <v>322</v>
      </c>
      <c r="C105" s="156" t="s">
        <v>323</v>
      </c>
      <c r="D105" s="157" t="s">
        <v>324</v>
      </c>
      <c r="E105" s="163">
        <v>290000</v>
      </c>
      <c r="F105" s="164"/>
      <c r="G105" s="71">
        <f t="shared" ref="G105:G107" si="394">E105-F105</f>
        <v>290000</v>
      </c>
      <c r="H105" s="70"/>
      <c r="I105" s="72">
        <f t="shared" si="45"/>
        <v>0.47669551724137937</v>
      </c>
      <c r="J105" s="72">
        <f t="shared" si="46"/>
        <v>0.47669551724137937</v>
      </c>
      <c r="K105" s="73">
        <f>127194-36012.3+44320+2740</f>
        <v>138241.70000000001</v>
      </c>
      <c r="L105" s="81">
        <v>132915.35</v>
      </c>
      <c r="M105" s="82"/>
      <c r="N105" s="107"/>
      <c r="O105" s="77">
        <f t="shared" ref="O105:Q105" si="395">AA105+AD105+AG105+AJ105+AM105+AP105+AS105+AV105+AY105+BB105+BE105+BH105</f>
        <v>138241.70000000001</v>
      </c>
      <c r="P105" s="77">
        <f t="shared" si="395"/>
        <v>132915.35</v>
      </c>
      <c r="Q105" s="77">
        <f t="shared" si="395"/>
        <v>0</v>
      </c>
      <c r="R105" s="77">
        <f t="shared" ref="R105:T105" si="396">IF(BK105=0,SUM(AA105+AD105+AG105+AJ105+AM105+AP105+AS105+AV105+AY105+BB105+BE105+BH105),BK105)</f>
        <v>138241.70000000001</v>
      </c>
      <c r="S105" s="77">
        <f t="shared" si="396"/>
        <v>132915.35</v>
      </c>
      <c r="T105" s="77">
        <f t="shared" si="396"/>
        <v>0</v>
      </c>
      <c r="U105" s="78">
        <f t="shared" ref="U105:U107" si="397">K105-O105</f>
        <v>0</v>
      </c>
      <c r="V105" s="79">
        <f t="shared" ref="V105:V107" si="398">L105-M105-S105</f>
        <v>0</v>
      </c>
      <c r="W105" s="79">
        <f t="shared" ref="W105:W107" si="399">N105-Q105</f>
        <v>0</v>
      </c>
      <c r="X105" s="80">
        <f t="shared" ref="X105:Y105" si="400">IF(O105&gt;0,O105/K105,0)</f>
        <v>1</v>
      </c>
      <c r="Y105" s="80">
        <f t="shared" si="400"/>
        <v>1</v>
      </c>
      <c r="Z105" s="80">
        <f t="shared" si="5"/>
        <v>0</v>
      </c>
      <c r="AA105" s="81"/>
      <c r="AB105" s="81">
        <f>27965.95+3838.23</f>
        <v>31804.18</v>
      </c>
      <c r="AC105" s="81"/>
      <c r="AD105" s="81"/>
      <c r="AE105" s="83">
        <f>2202.17+27268.61+2213.17</f>
        <v>31683.949999999997</v>
      </c>
      <c r="AF105" s="83"/>
      <c r="AG105" s="83"/>
      <c r="AH105" s="128">
        <v>64242.91</v>
      </c>
      <c r="AI105" s="81"/>
      <c r="AJ105" s="81"/>
      <c r="AK105" s="82">
        <v>5184.3100000000004</v>
      </c>
      <c r="AL105" s="81"/>
      <c r="AM105" s="81"/>
      <c r="AN105" s="81"/>
      <c r="AO105" s="81"/>
      <c r="AP105" s="81">
        <f>9613.01+40224.69+1973.07</f>
        <v>51810.770000000004</v>
      </c>
      <c r="AQ105" s="81"/>
      <c r="AR105" s="81"/>
      <c r="AS105" s="81"/>
      <c r="AT105" s="81"/>
      <c r="AU105" s="81"/>
      <c r="AV105" s="81">
        <f>30213.8+2783.14</f>
        <v>32996.94</v>
      </c>
      <c r="AW105" s="81"/>
      <c r="AX105" s="81"/>
      <c r="AY105" s="81">
        <f>2741.36</f>
        <v>2741.36</v>
      </c>
      <c r="AZ105" s="81"/>
      <c r="BA105" s="81"/>
      <c r="BB105" s="81">
        <f>47946.81+2739.92+5.9</f>
        <v>50692.63</v>
      </c>
      <c r="BC105" s="81"/>
      <c r="BD105" s="81"/>
      <c r="BE105" s="81"/>
      <c r="BF105" s="81"/>
      <c r="BG105" s="81"/>
      <c r="BH105" s="81"/>
      <c r="BI105" s="81"/>
      <c r="BJ105" s="81"/>
      <c r="BK105" s="82">
        <v>138241.70000000001</v>
      </c>
      <c r="BL105" s="82">
        <v>132915.35</v>
      </c>
      <c r="BM105" s="82">
        <v>0</v>
      </c>
      <c r="BN105" s="81">
        <f t="shared" ref="BN105:BN107" si="401">IF(O105-BK105&gt;0,O105-BK105,0)</f>
        <v>0</v>
      </c>
      <c r="BO105" s="75">
        <f t="shared" ref="BO105:BO107" si="402">IF(Q105-BM105&gt;0,Q105-BM105,0)</f>
        <v>0</v>
      </c>
      <c r="BP105" s="81">
        <f t="shared" ref="BP105:BP107" si="403">IF(BN105+BO105&gt;0,BN105+BO105,0)</f>
        <v>0</v>
      </c>
      <c r="BQ105" s="81">
        <f t="shared" ref="BQ105:BQ107" si="404">IF(U105=0,0,U105)</f>
        <v>0</v>
      </c>
      <c r="BR105" s="81">
        <f t="shared" ref="BR105:BR107" si="405">IF(W105=0,0,W105)</f>
        <v>0</v>
      </c>
      <c r="BS105" s="81">
        <f t="shared" ref="BS105:BS107" si="406">IF(BQ105+BR105&gt;0,BQ105+BR105,0)</f>
        <v>0</v>
      </c>
      <c r="BT105" s="81">
        <f t="shared" ref="BT105:BT107" si="407">IF(V105&gt;0,V105,0)</f>
        <v>0</v>
      </c>
      <c r="BU105" s="81">
        <f t="shared" ref="BU105:BU107" si="408">IF(BP105=0,0,BP105)</f>
        <v>0</v>
      </c>
      <c r="BV105" s="81">
        <f t="shared" ref="BV105:BV107" si="409">IF(BS105=0,0,BS105)</f>
        <v>0</v>
      </c>
      <c r="BW105" s="81">
        <f t="shared" ref="BW105:BW107" si="410">IF(BP105+BT105+BV105&gt;0,BP105+BT105+BV105,0)</f>
        <v>0</v>
      </c>
      <c r="BX105" s="1"/>
      <c r="BY105" s="1"/>
      <c r="BZ105" s="1"/>
      <c r="CA105" s="1"/>
      <c r="CB105" s="1"/>
      <c r="CC105" s="1"/>
      <c r="CD105" s="1"/>
      <c r="CE105" s="1"/>
      <c r="CF105" s="1"/>
      <c r="CG105" s="1"/>
    </row>
    <row r="106" spans="1:85" ht="15.75" customHeight="1">
      <c r="A106" s="165" t="s">
        <v>325</v>
      </c>
      <c r="B106" s="114"/>
      <c r="C106" s="166" t="s">
        <v>323</v>
      </c>
      <c r="D106" s="167" t="s">
        <v>326</v>
      </c>
      <c r="E106" s="168"/>
      <c r="F106" s="169"/>
      <c r="G106" s="71">
        <f t="shared" si="394"/>
        <v>0</v>
      </c>
      <c r="H106" s="70"/>
      <c r="I106" s="72">
        <f t="shared" si="45"/>
        <v>0</v>
      </c>
      <c r="J106" s="72">
        <f t="shared" si="46"/>
        <v>0</v>
      </c>
      <c r="K106" s="73">
        <f>162806-38000-2931.2-3500-10758-6420-79-101116.8-1+13579.43+1.8+1296.52+24.5+2705.32+90</f>
        <v>17697.57</v>
      </c>
      <c r="L106" s="120"/>
      <c r="M106" s="170"/>
      <c r="N106" s="107"/>
      <c r="O106" s="77">
        <f t="shared" ref="O106:Q106" si="411">AA106+AD106+AG106+AJ106+AM106+AP106+AS106+AV106+AY106+BB106+BE106+BH106</f>
        <v>0</v>
      </c>
      <c r="P106" s="77">
        <f t="shared" si="411"/>
        <v>0</v>
      </c>
      <c r="Q106" s="77">
        <f t="shared" si="411"/>
        <v>0</v>
      </c>
      <c r="R106" s="77">
        <f t="shared" ref="R106:T106" si="412">IF(BK106=0,SUM(AA106+AD106+AG106+AJ106+AM106+AP106+AS106+AV106+AY106+BB106+BE106+BH106),BK106)</f>
        <v>0</v>
      </c>
      <c r="S106" s="77">
        <f t="shared" si="412"/>
        <v>0</v>
      </c>
      <c r="T106" s="77">
        <f t="shared" si="412"/>
        <v>0</v>
      </c>
      <c r="U106" s="78">
        <f t="shared" si="397"/>
        <v>17697.57</v>
      </c>
      <c r="V106" s="79">
        <f t="shared" si="398"/>
        <v>0</v>
      </c>
      <c r="W106" s="79">
        <f t="shared" si="399"/>
        <v>0</v>
      </c>
      <c r="X106" s="80">
        <f t="shared" ref="X106:Y106" si="413">IF(O106&gt;0,O106/K106,0)</f>
        <v>0</v>
      </c>
      <c r="Y106" s="80">
        <f t="shared" si="413"/>
        <v>0</v>
      </c>
      <c r="Z106" s="80">
        <f t="shared" si="5"/>
        <v>0</v>
      </c>
      <c r="AA106" s="81"/>
      <c r="AB106" s="81"/>
      <c r="AC106" s="81"/>
      <c r="AD106" s="81"/>
      <c r="AE106" s="128"/>
      <c r="AF106" s="83"/>
      <c r="AG106" s="83"/>
      <c r="AH106" s="83"/>
      <c r="AI106" s="81"/>
      <c r="AJ106" s="81"/>
      <c r="AK106" s="81"/>
      <c r="AL106" s="81"/>
      <c r="AM106" s="81"/>
      <c r="AN106" s="82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2">
        <v>0</v>
      </c>
      <c r="BL106" s="82">
        <v>0</v>
      </c>
      <c r="BM106" s="82">
        <v>0</v>
      </c>
      <c r="BN106" s="81">
        <f t="shared" si="401"/>
        <v>0</v>
      </c>
      <c r="BO106" s="75">
        <f t="shared" si="402"/>
        <v>0</v>
      </c>
      <c r="BP106" s="81">
        <f t="shared" si="403"/>
        <v>0</v>
      </c>
      <c r="BQ106" s="81">
        <f t="shared" si="404"/>
        <v>17697.57</v>
      </c>
      <c r="BR106" s="81">
        <f t="shared" si="405"/>
        <v>0</v>
      </c>
      <c r="BS106" s="81">
        <f t="shared" si="406"/>
        <v>17697.57</v>
      </c>
      <c r="BT106" s="81">
        <f t="shared" si="407"/>
        <v>0</v>
      </c>
      <c r="BU106" s="81">
        <f t="shared" si="408"/>
        <v>0</v>
      </c>
      <c r="BV106" s="81">
        <f t="shared" si="409"/>
        <v>17697.57</v>
      </c>
      <c r="BW106" s="81">
        <f t="shared" si="410"/>
        <v>17697.57</v>
      </c>
      <c r="BX106" s="1"/>
      <c r="BY106" s="1"/>
      <c r="BZ106" s="1"/>
      <c r="CA106" s="1"/>
      <c r="CB106" s="1"/>
      <c r="CC106" s="1"/>
      <c r="CD106" s="1"/>
      <c r="CE106" s="1"/>
      <c r="CF106" s="1"/>
      <c r="CG106" s="1"/>
    </row>
    <row r="107" spans="1:85" ht="15.75" customHeight="1">
      <c r="A107" s="134" t="s">
        <v>327</v>
      </c>
      <c r="B107" s="146"/>
      <c r="C107" s="86" t="s">
        <v>328</v>
      </c>
      <c r="D107" s="87" t="s">
        <v>329</v>
      </c>
      <c r="E107" s="70">
        <v>3000</v>
      </c>
      <c r="F107" s="71"/>
      <c r="G107" s="71">
        <f t="shared" si="394"/>
        <v>3000</v>
      </c>
      <c r="H107" s="70"/>
      <c r="I107" s="72">
        <f t="shared" si="45"/>
        <v>0.83333333333333337</v>
      </c>
      <c r="J107" s="72">
        <f t="shared" si="46"/>
        <v>0.83333333333333337</v>
      </c>
      <c r="K107" s="73">
        <v>2500</v>
      </c>
      <c r="L107" s="81">
        <v>432.87</v>
      </c>
      <c r="M107" s="82"/>
      <c r="N107" s="88"/>
      <c r="O107" s="77">
        <f t="shared" ref="O107:Q107" si="414">AA107+AD107+AG107+AJ107+AM107+AP107+AS107+AV107+AY107+BB107+BE107+BH107</f>
        <v>2500</v>
      </c>
      <c r="P107" s="77">
        <f t="shared" si="414"/>
        <v>432.87</v>
      </c>
      <c r="Q107" s="77">
        <f t="shared" si="414"/>
        <v>0</v>
      </c>
      <c r="R107" s="77">
        <f t="shared" ref="R107:T107" si="415">IF(BK107=0,SUM(AA107+AD107+AG107+AJ107+AM107+AP107+AS107+AV107+AY107+BB107+BE107+BH107),BK107)</f>
        <v>2500</v>
      </c>
      <c r="S107" s="77">
        <f t="shared" si="415"/>
        <v>432.87</v>
      </c>
      <c r="T107" s="77">
        <f t="shared" si="415"/>
        <v>0</v>
      </c>
      <c r="U107" s="78">
        <f t="shared" si="397"/>
        <v>0</v>
      </c>
      <c r="V107" s="79">
        <f t="shared" si="398"/>
        <v>0</v>
      </c>
      <c r="W107" s="79">
        <f t="shared" si="399"/>
        <v>0</v>
      </c>
      <c r="X107" s="80">
        <f t="shared" ref="X107:Y107" si="416">IF(O107&gt;0,O107/K107,0)</f>
        <v>1</v>
      </c>
      <c r="Y107" s="80">
        <f t="shared" si="416"/>
        <v>1</v>
      </c>
      <c r="Z107" s="80">
        <f t="shared" si="5"/>
        <v>0</v>
      </c>
      <c r="AA107" s="81"/>
      <c r="AB107" s="82">
        <v>255.71</v>
      </c>
      <c r="AC107" s="81"/>
      <c r="AD107" s="82">
        <v>135.97999999999999</v>
      </c>
      <c r="AE107" s="128">
        <f>155.55+21.61</f>
        <v>177.16000000000003</v>
      </c>
      <c r="AF107" s="83"/>
      <c r="AG107" s="171">
        <f>-135.98+135.95+710.1</f>
        <v>710.07</v>
      </c>
      <c r="AH107" s="128"/>
      <c r="AI107" s="81"/>
      <c r="AJ107" s="82">
        <v>228.6</v>
      </c>
      <c r="AK107" s="81"/>
      <c r="AL107" s="81"/>
      <c r="AM107" s="81"/>
      <c r="AN107" s="81"/>
      <c r="AO107" s="81"/>
      <c r="AP107" s="81">
        <f>198.08+130.44</f>
        <v>328.52</v>
      </c>
      <c r="AQ107" s="81"/>
      <c r="AR107" s="81"/>
      <c r="AS107" s="81"/>
      <c r="AT107" s="81"/>
      <c r="AU107" s="81"/>
      <c r="AV107" s="82">
        <v>125.84</v>
      </c>
      <c r="AW107" s="81"/>
      <c r="AX107" s="81"/>
      <c r="AY107" s="81">
        <f>243.28</f>
        <v>243.28</v>
      </c>
      <c r="AZ107" s="81"/>
      <c r="BA107" s="81"/>
      <c r="BB107" s="81">
        <f>219.22+256.71</f>
        <v>475.92999999999995</v>
      </c>
      <c r="BC107" s="81"/>
      <c r="BD107" s="81"/>
      <c r="BE107" s="81">
        <f>251.78</f>
        <v>251.78</v>
      </c>
      <c r="BF107" s="81"/>
      <c r="BG107" s="81"/>
      <c r="BH107" s="81"/>
      <c r="BI107" s="81"/>
      <c r="BJ107" s="81"/>
      <c r="BK107" s="82">
        <v>2500</v>
      </c>
      <c r="BL107" s="82">
        <v>432.87</v>
      </c>
      <c r="BM107" s="82">
        <v>0</v>
      </c>
      <c r="BN107" s="81">
        <f t="shared" si="401"/>
        <v>0</v>
      </c>
      <c r="BO107" s="75">
        <f t="shared" si="402"/>
        <v>0</v>
      </c>
      <c r="BP107" s="81">
        <f t="shared" si="403"/>
        <v>0</v>
      </c>
      <c r="BQ107" s="81">
        <f t="shared" si="404"/>
        <v>0</v>
      </c>
      <c r="BR107" s="81">
        <f t="shared" si="405"/>
        <v>0</v>
      </c>
      <c r="BS107" s="81">
        <f t="shared" si="406"/>
        <v>0</v>
      </c>
      <c r="BT107" s="81">
        <f t="shared" si="407"/>
        <v>0</v>
      </c>
      <c r="BU107" s="81">
        <f t="shared" si="408"/>
        <v>0</v>
      </c>
      <c r="BV107" s="81">
        <f t="shared" si="409"/>
        <v>0</v>
      </c>
      <c r="BW107" s="81">
        <f t="shared" si="410"/>
        <v>0</v>
      </c>
      <c r="BX107" s="1"/>
      <c r="BY107" s="1"/>
      <c r="BZ107" s="1"/>
      <c r="CA107" s="1"/>
      <c r="CB107" s="1"/>
      <c r="CC107" s="1"/>
      <c r="CD107" s="1"/>
      <c r="CE107" s="1"/>
      <c r="CF107" s="1"/>
      <c r="CG107" s="1"/>
    </row>
    <row r="108" spans="1:85" ht="15.75">
      <c r="A108" s="109"/>
      <c r="B108" s="110"/>
      <c r="C108" s="111"/>
      <c r="D108" s="112" t="s">
        <v>330</v>
      </c>
      <c r="E108" s="58">
        <f t="shared" ref="E108:H108" si="417">SUM(E109:E112)</f>
        <v>35000</v>
      </c>
      <c r="F108" s="59">
        <f t="shared" si="417"/>
        <v>0</v>
      </c>
      <c r="G108" s="59">
        <f t="shared" si="417"/>
        <v>35000</v>
      </c>
      <c r="H108" s="59">
        <f t="shared" si="417"/>
        <v>0</v>
      </c>
      <c r="I108" s="60">
        <f t="shared" si="45"/>
        <v>1.2530380000000001</v>
      </c>
      <c r="J108" s="60">
        <f t="shared" si="46"/>
        <v>1.0859597142857145</v>
      </c>
      <c r="K108" s="59">
        <f t="shared" ref="K108:W108" si="418">SUM(K109:K112)</f>
        <v>43856.33</v>
      </c>
      <c r="L108" s="59">
        <f t="shared" si="418"/>
        <v>13796.900000000001</v>
      </c>
      <c r="M108" s="59">
        <f t="shared" si="418"/>
        <v>0</v>
      </c>
      <c r="N108" s="59">
        <f t="shared" si="418"/>
        <v>0</v>
      </c>
      <c r="O108" s="59">
        <f t="shared" si="418"/>
        <v>38008.590000000004</v>
      </c>
      <c r="P108" s="59">
        <f t="shared" si="418"/>
        <v>13796.899999999998</v>
      </c>
      <c r="Q108" s="59">
        <f t="shared" si="418"/>
        <v>0</v>
      </c>
      <c r="R108" s="59">
        <f t="shared" si="418"/>
        <v>38008.590000000004</v>
      </c>
      <c r="S108" s="59">
        <f t="shared" si="418"/>
        <v>13796.900000000001</v>
      </c>
      <c r="T108" s="59">
        <f t="shared" si="418"/>
        <v>0</v>
      </c>
      <c r="U108" s="59">
        <f t="shared" si="418"/>
        <v>5847.739999999998</v>
      </c>
      <c r="V108" s="59">
        <f t="shared" si="418"/>
        <v>0</v>
      </c>
      <c r="W108" s="59">
        <f t="shared" si="418"/>
        <v>0</v>
      </c>
      <c r="X108" s="63">
        <f t="shared" ref="X108:Y108" si="419">IF(O108&gt;0,O108/K108,0)</f>
        <v>0.86666143747094215</v>
      </c>
      <c r="Y108" s="63">
        <f t="shared" si="419"/>
        <v>0.99999999999999978</v>
      </c>
      <c r="Z108" s="63">
        <f t="shared" si="5"/>
        <v>0</v>
      </c>
      <c r="AA108" s="59">
        <f t="shared" ref="AA108:BW108" si="420">SUM(AA109:AA112)</f>
        <v>0</v>
      </c>
      <c r="AB108" s="59">
        <f t="shared" si="420"/>
        <v>2185.42</v>
      </c>
      <c r="AC108" s="59">
        <f t="shared" si="420"/>
        <v>0</v>
      </c>
      <c r="AD108" s="59">
        <f t="shared" si="420"/>
        <v>0</v>
      </c>
      <c r="AE108" s="59">
        <f t="shared" si="420"/>
        <v>5287.8</v>
      </c>
      <c r="AF108" s="59">
        <f t="shared" si="420"/>
        <v>0</v>
      </c>
      <c r="AG108" s="59">
        <f t="shared" si="420"/>
        <v>0</v>
      </c>
      <c r="AH108" s="59">
        <f t="shared" si="420"/>
        <v>5534.6399999999994</v>
      </c>
      <c r="AI108" s="59">
        <f t="shared" si="420"/>
        <v>0</v>
      </c>
      <c r="AJ108" s="59">
        <f t="shared" si="420"/>
        <v>2643.9</v>
      </c>
      <c r="AK108" s="59">
        <f t="shared" si="420"/>
        <v>0</v>
      </c>
      <c r="AL108" s="59">
        <f t="shared" si="420"/>
        <v>0</v>
      </c>
      <c r="AM108" s="59">
        <f t="shared" si="420"/>
        <v>5390.11</v>
      </c>
      <c r="AN108" s="59">
        <f t="shared" si="420"/>
        <v>789.04</v>
      </c>
      <c r="AO108" s="59">
        <f t="shared" si="420"/>
        <v>0</v>
      </c>
      <c r="AP108" s="59">
        <f t="shared" si="420"/>
        <v>2996.34</v>
      </c>
      <c r="AQ108" s="59">
        <f t="shared" si="420"/>
        <v>0</v>
      </c>
      <c r="AR108" s="59">
        <f t="shared" si="420"/>
        <v>0</v>
      </c>
      <c r="AS108" s="59">
        <f t="shared" si="420"/>
        <v>1527.39</v>
      </c>
      <c r="AT108" s="59">
        <f t="shared" si="420"/>
        <v>0</v>
      </c>
      <c r="AU108" s="59">
        <f t="shared" si="420"/>
        <v>0</v>
      </c>
      <c r="AV108" s="59">
        <f t="shared" si="420"/>
        <v>7221.71</v>
      </c>
      <c r="AW108" s="59">
        <f t="shared" si="420"/>
        <v>0</v>
      </c>
      <c r="AX108" s="59">
        <f t="shared" si="420"/>
        <v>0</v>
      </c>
      <c r="AY108" s="59">
        <f t="shared" si="420"/>
        <v>2898.78</v>
      </c>
      <c r="AZ108" s="59">
        <f t="shared" si="420"/>
        <v>0</v>
      </c>
      <c r="BA108" s="59">
        <f t="shared" si="420"/>
        <v>0</v>
      </c>
      <c r="BB108" s="59">
        <f t="shared" si="420"/>
        <v>2673.82</v>
      </c>
      <c r="BC108" s="59">
        <f t="shared" si="420"/>
        <v>0</v>
      </c>
      <c r="BD108" s="59">
        <f t="shared" si="420"/>
        <v>0</v>
      </c>
      <c r="BE108" s="59">
        <f t="shared" si="420"/>
        <v>2877.32</v>
      </c>
      <c r="BF108" s="59">
        <f t="shared" si="420"/>
        <v>0</v>
      </c>
      <c r="BG108" s="59">
        <f t="shared" si="420"/>
        <v>0</v>
      </c>
      <c r="BH108" s="59">
        <f t="shared" si="420"/>
        <v>9779.2199999999993</v>
      </c>
      <c r="BI108" s="59">
        <f t="shared" si="420"/>
        <v>0</v>
      </c>
      <c r="BJ108" s="59">
        <f t="shared" si="420"/>
        <v>0</v>
      </c>
      <c r="BK108" s="59">
        <f t="shared" si="420"/>
        <v>38008.590000000004</v>
      </c>
      <c r="BL108" s="59">
        <f t="shared" si="420"/>
        <v>13796.900000000001</v>
      </c>
      <c r="BM108" s="59">
        <f t="shared" si="420"/>
        <v>0</v>
      </c>
      <c r="BN108" s="59">
        <f t="shared" si="420"/>
        <v>3.637978807091713E-12</v>
      </c>
      <c r="BO108" s="59">
        <f t="shared" si="420"/>
        <v>0</v>
      </c>
      <c r="BP108" s="59">
        <f t="shared" si="420"/>
        <v>3.637978807091713E-12</v>
      </c>
      <c r="BQ108" s="59">
        <f t="shared" si="420"/>
        <v>5847.739999999998</v>
      </c>
      <c r="BR108" s="59">
        <f t="shared" si="420"/>
        <v>0</v>
      </c>
      <c r="BS108" s="59">
        <f t="shared" si="420"/>
        <v>5847.739999999998</v>
      </c>
      <c r="BT108" s="59">
        <f t="shared" si="420"/>
        <v>0</v>
      </c>
      <c r="BU108" s="59">
        <f t="shared" si="420"/>
        <v>3.637978807091713E-12</v>
      </c>
      <c r="BV108" s="59">
        <f t="shared" si="420"/>
        <v>5847.739999999998</v>
      </c>
      <c r="BW108" s="59">
        <f t="shared" si="420"/>
        <v>5847.7400000000016</v>
      </c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</row>
    <row r="109" spans="1:85" ht="15.75" customHeight="1">
      <c r="A109" s="172" t="s">
        <v>331</v>
      </c>
      <c r="B109" s="146" t="s">
        <v>332</v>
      </c>
      <c r="C109" s="68" t="s">
        <v>333</v>
      </c>
      <c r="D109" s="173" t="s">
        <v>334</v>
      </c>
      <c r="E109" s="70"/>
      <c r="F109" s="71"/>
      <c r="G109" s="71">
        <f t="shared" ref="G109:G112" si="421">E109-F109</f>
        <v>0</v>
      </c>
      <c r="H109" s="70"/>
      <c r="I109" s="72">
        <f t="shared" si="45"/>
        <v>0</v>
      </c>
      <c r="J109" s="72">
        <f t="shared" si="46"/>
        <v>0</v>
      </c>
      <c r="K109" s="73">
        <f>10054.68-4420.75</f>
        <v>5633.93</v>
      </c>
      <c r="L109" s="81">
        <v>8509.1</v>
      </c>
      <c r="M109" s="81"/>
      <c r="N109" s="88"/>
      <c r="O109" s="77">
        <f t="shared" ref="O109:Q109" si="422">AA109+AD109+AG109+AJ109+AM109+AP109+AS109+AV109+AY109+BB109+BE109+BH109</f>
        <v>5633.93</v>
      </c>
      <c r="P109" s="77">
        <f t="shared" si="422"/>
        <v>8509.0999999999985</v>
      </c>
      <c r="Q109" s="77">
        <f t="shared" si="422"/>
        <v>0</v>
      </c>
      <c r="R109" s="77">
        <f t="shared" ref="R109:T109" si="423">IF(BK109=0,SUM(AA109+AD109+AG109+AJ109+AM109+AP109+AS109+AV109+AY109+BB109+BE109+BH109),BK109)</f>
        <v>5633.93</v>
      </c>
      <c r="S109" s="77">
        <f t="shared" si="423"/>
        <v>8509.1</v>
      </c>
      <c r="T109" s="77">
        <f t="shared" si="423"/>
        <v>0</v>
      </c>
      <c r="U109" s="78">
        <f t="shared" ref="U109:U112" si="424">K109-O109</f>
        <v>0</v>
      </c>
      <c r="V109" s="79">
        <f t="shared" ref="V109:V112" si="425">L109-M109-S109</f>
        <v>0</v>
      </c>
      <c r="W109" s="79">
        <f t="shared" ref="W109:W112" si="426">N109-Q109</f>
        <v>0</v>
      </c>
      <c r="X109" s="80">
        <f t="shared" ref="X109:Y109" si="427">IF(O109&gt;0,O109/K109,0)</f>
        <v>1</v>
      </c>
      <c r="Y109" s="80">
        <f t="shared" si="427"/>
        <v>0.99999999999999978</v>
      </c>
      <c r="Z109" s="80">
        <f t="shared" si="5"/>
        <v>0</v>
      </c>
      <c r="AA109" s="81"/>
      <c r="AB109" s="82">
        <v>2185.42</v>
      </c>
      <c r="AC109" s="81"/>
      <c r="AD109" s="81"/>
      <c r="AE109" s="83"/>
      <c r="AF109" s="83"/>
      <c r="AG109" s="83"/>
      <c r="AH109" s="81">
        <f>1804.63+1924.74+1805.27</f>
        <v>5534.6399999999994</v>
      </c>
      <c r="AI109" s="81"/>
      <c r="AJ109" s="81"/>
      <c r="AK109" s="81"/>
      <c r="AL109" s="81"/>
      <c r="AM109" s="81">
        <f>936.64+1569.23</f>
        <v>2505.87</v>
      </c>
      <c r="AN109" s="82">
        <v>789.04</v>
      </c>
      <c r="AO109" s="81"/>
      <c r="AP109" s="81"/>
      <c r="AQ109" s="81"/>
      <c r="AR109" s="81"/>
      <c r="AS109" s="82">
        <v>1527.39</v>
      </c>
      <c r="AT109" s="81"/>
      <c r="AU109" s="81"/>
      <c r="AV109" s="81">
        <f>1600.67</f>
        <v>1600.67</v>
      </c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2">
        <v>5633.93</v>
      </c>
      <c r="BL109" s="82">
        <v>8509.1</v>
      </c>
      <c r="BM109" s="82">
        <v>0</v>
      </c>
      <c r="BN109" s="81">
        <f t="shared" ref="BN109:BN112" si="428">IF(O109-BK109&gt;0,O109-BK109,0)</f>
        <v>0</v>
      </c>
      <c r="BO109" s="75">
        <f t="shared" ref="BO109:BO112" si="429">IF(Q109-BM109&gt;0,Q109-BM109,0)</f>
        <v>0</v>
      </c>
      <c r="BP109" s="81">
        <f t="shared" ref="BP109:BP112" si="430">IF(BN109+BO109&gt;0,BN109+BO109,0)</f>
        <v>0</v>
      </c>
      <c r="BQ109" s="81">
        <f t="shared" ref="BQ109:BQ112" si="431">IF(U109=0,0,U109)</f>
        <v>0</v>
      </c>
      <c r="BR109" s="81">
        <f t="shared" ref="BR109:BR112" si="432">IF(W109=0,0,W109)</f>
        <v>0</v>
      </c>
      <c r="BS109" s="81">
        <f t="shared" ref="BS109:BS112" si="433">IF(BQ109+BR109&gt;0,BQ109+BR109,0)</f>
        <v>0</v>
      </c>
      <c r="BT109" s="81">
        <f t="shared" ref="BT109:BT112" si="434">IF(V109&gt;0,V109,0)</f>
        <v>0</v>
      </c>
      <c r="BU109" s="81">
        <f t="shared" ref="BU109:BU112" si="435">IF(BP109=0,0,BP109)</f>
        <v>0</v>
      </c>
      <c r="BV109" s="81">
        <f t="shared" ref="BV109:BV112" si="436">IF(BS109=0,0,BS109)</f>
        <v>0</v>
      </c>
      <c r="BW109" s="81">
        <f t="shared" ref="BW109:BW112" si="437">IF(BP109+BT109+BV109&gt;0,BP109+BT109+BV109,0)</f>
        <v>0</v>
      </c>
      <c r="BX109" s="1"/>
      <c r="BY109" s="1"/>
      <c r="BZ109" s="1"/>
      <c r="CA109" s="1"/>
      <c r="CB109" s="1"/>
      <c r="CC109" s="1"/>
      <c r="CD109" s="1"/>
      <c r="CE109" s="1"/>
      <c r="CF109" s="1"/>
      <c r="CG109" s="1"/>
    </row>
    <row r="110" spans="1:85" ht="15.75" customHeight="1">
      <c r="A110" s="134" t="s">
        <v>335</v>
      </c>
      <c r="B110" s="132"/>
      <c r="C110" s="86" t="s">
        <v>333</v>
      </c>
      <c r="D110" s="126" t="s">
        <v>336</v>
      </c>
      <c r="E110" s="174"/>
      <c r="F110" s="175"/>
      <c r="G110" s="71">
        <f t="shared" si="421"/>
        <v>0</v>
      </c>
      <c r="H110" s="70"/>
      <c r="I110" s="72">
        <f t="shared" si="45"/>
        <v>0</v>
      </c>
      <c r="J110" s="72">
        <f t="shared" si="46"/>
        <v>0</v>
      </c>
      <c r="K110" s="73">
        <f>16788-9793</f>
        <v>6995</v>
      </c>
      <c r="L110" s="81"/>
      <c r="M110" s="81"/>
      <c r="N110" s="88"/>
      <c r="O110" s="77">
        <f t="shared" ref="O110:Q110" si="438">AA110+AD110+AG110+AJ110+AM110+AP110+AS110+AV110+AY110+BB110+BE110+BH110</f>
        <v>4197</v>
      </c>
      <c r="P110" s="77">
        <f t="shared" si="438"/>
        <v>0</v>
      </c>
      <c r="Q110" s="77">
        <f t="shared" si="438"/>
        <v>0</v>
      </c>
      <c r="R110" s="77">
        <f t="shared" ref="R110:T110" si="439">IF(BK110=0,SUM(AA110+AD110+AG110+AJ110+AM110+AP110+AS110+AV110+AY110+BB110+BE110+BH110),BK110)</f>
        <v>4197</v>
      </c>
      <c r="S110" s="77">
        <f t="shared" si="439"/>
        <v>0</v>
      </c>
      <c r="T110" s="77">
        <f t="shared" si="439"/>
        <v>0</v>
      </c>
      <c r="U110" s="78">
        <f t="shared" si="424"/>
        <v>2798</v>
      </c>
      <c r="V110" s="79">
        <f t="shared" si="425"/>
        <v>0</v>
      </c>
      <c r="W110" s="79">
        <f t="shared" si="426"/>
        <v>0</v>
      </c>
      <c r="X110" s="80">
        <f t="shared" ref="X110:Y110" si="440">IF(O110&gt;0,O110/K110,0)</f>
        <v>0.6</v>
      </c>
      <c r="Y110" s="80">
        <f t="shared" si="440"/>
        <v>0</v>
      </c>
      <c r="Z110" s="80">
        <f t="shared" si="5"/>
        <v>0</v>
      </c>
      <c r="AA110" s="81"/>
      <c r="AB110" s="81"/>
      <c r="AC110" s="81"/>
      <c r="AD110" s="81"/>
      <c r="AE110" s="83"/>
      <c r="AF110" s="83"/>
      <c r="AG110" s="83"/>
      <c r="AH110" s="83"/>
      <c r="AI110" s="81"/>
      <c r="AJ110" s="81"/>
      <c r="AK110" s="81"/>
      <c r="AL110" s="81"/>
      <c r="AM110" s="81"/>
      <c r="AN110" s="81"/>
      <c r="AO110" s="81"/>
      <c r="AP110" s="82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>
        <f>1399+1399+1399</f>
        <v>4197</v>
      </c>
      <c r="BI110" s="81"/>
      <c r="BJ110" s="81"/>
      <c r="BK110" s="82">
        <v>4197</v>
      </c>
      <c r="BL110" s="82">
        <v>0</v>
      </c>
      <c r="BM110" s="82">
        <v>0</v>
      </c>
      <c r="BN110" s="81">
        <f t="shared" si="428"/>
        <v>0</v>
      </c>
      <c r="BO110" s="75">
        <f t="shared" si="429"/>
        <v>0</v>
      </c>
      <c r="BP110" s="81">
        <f t="shared" si="430"/>
        <v>0</v>
      </c>
      <c r="BQ110" s="81">
        <f t="shared" si="431"/>
        <v>2798</v>
      </c>
      <c r="BR110" s="81">
        <f t="shared" si="432"/>
        <v>0</v>
      </c>
      <c r="BS110" s="81">
        <f t="shared" si="433"/>
        <v>2798</v>
      </c>
      <c r="BT110" s="81">
        <f t="shared" si="434"/>
        <v>0</v>
      </c>
      <c r="BU110" s="81">
        <f t="shared" si="435"/>
        <v>0</v>
      </c>
      <c r="BV110" s="81">
        <f t="shared" si="436"/>
        <v>2798</v>
      </c>
      <c r="BW110" s="81">
        <f t="shared" si="437"/>
        <v>2798</v>
      </c>
      <c r="BX110" s="1"/>
      <c r="BY110" s="1"/>
      <c r="BZ110" s="1"/>
      <c r="CA110" s="1"/>
      <c r="CB110" s="1"/>
      <c r="CC110" s="1"/>
      <c r="CD110" s="1"/>
      <c r="CE110" s="1"/>
      <c r="CF110" s="1"/>
      <c r="CG110" s="1"/>
    </row>
    <row r="111" spans="1:85" ht="15.75" customHeight="1">
      <c r="A111" s="176" t="s">
        <v>337</v>
      </c>
      <c r="B111" s="85" t="s">
        <v>338</v>
      </c>
      <c r="C111" s="177" t="s">
        <v>339</v>
      </c>
      <c r="D111" s="167" t="s">
        <v>340</v>
      </c>
      <c r="E111" s="163">
        <v>35000</v>
      </c>
      <c r="F111" s="164"/>
      <c r="G111" s="71">
        <f t="shared" si="421"/>
        <v>35000</v>
      </c>
      <c r="H111" s="70"/>
      <c r="I111" s="72">
        <f t="shared" si="45"/>
        <v>0.8166714285714286</v>
      </c>
      <c r="J111" s="72">
        <f t="shared" si="46"/>
        <v>0.72953600000000007</v>
      </c>
      <c r="K111" s="73">
        <f>35964-5001.12-2379.38</f>
        <v>28583.5</v>
      </c>
      <c r="L111" s="81">
        <v>5287.8</v>
      </c>
      <c r="M111" s="81"/>
      <c r="N111" s="88"/>
      <c r="O111" s="77">
        <f t="shared" ref="O111:Q111" si="441">AA111+AD111+AG111+AJ111+AM111+AP111+AS111+AV111+AY111+BB111+BE111+BH111</f>
        <v>25533.760000000002</v>
      </c>
      <c r="P111" s="77">
        <f t="shared" si="441"/>
        <v>5287.8</v>
      </c>
      <c r="Q111" s="77">
        <f t="shared" si="441"/>
        <v>0</v>
      </c>
      <c r="R111" s="77">
        <f t="shared" ref="R111:T111" si="442">IF(BK111=0,SUM(AA111+AD111+AG111+AJ111+AM111+AP111+AS111+AV111+AY111+BB111+BE111+BH111),BK111)</f>
        <v>25533.759999999998</v>
      </c>
      <c r="S111" s="77">
        <f t="shared" si="442"/>
        <v>5287.8</v>
      </c>
      <c r="T111" s="77">
        <f t="shared" si="442"/>
        <v>0</v>
      </c>
      <c r="U111" s="78">
        <f t="shared" si="424"/>
        <v>3049.739999999998</v>
      </c>
      <c r="V111" s="79">
        <f t="shared" si="425"/>
        <v>0</v>
      </c>
      <c r="W111" s="79">
        <f t="shared" si="426"/>
        <v>0</v>
      </c>
      <c r="X111" s="80">
        <f t="shared" ref="X111:Y111" si="443">IF(O111&gt;0,O111/K111,0)</f>
        <v>0.89330417898437919</v>
      </c>
      <c r="Y111" s="80">
        <f t="shared" si="443"/>
        <v>1</v>
      </c>
      <c r="Z111" s="80">
        <f t="shared" si="5"/>
        <v>0</v>
      </c>
      <c r="AA111" s="81"/>
      <c r="AB111" s="81"/>
      <c r="AC111" s="81"/>
      <c r="AD111" s="81"/>
      <c r="AE111" s="83">
        <f>2643.9+2643.9</f>
        <v>5287.8</v>
      </c>
      <c r="AF111" s="83"/>
      <c r="AG111" s="83"/>
      <c r="AH111" s="83"/>
      <c r="AI111" s="81"/>
      <c r="AJ111" s="81"/>
      <c r="AK111" s="81"/>
      <c r="AL111" s="81"/>
      <c r="AM111" s="81">
        <f>3055.7-3055.7+2884.24</f>
        <v>2884.24</v>
      </c>
      <c r="AN111" s="81"/>
      <c r="AO111" s="81"/>
      <c r="AP111" s="82">
        <v>2996.34</v>
      </c>
      <c r="AQ111" s="81"/>
      <c r="AR111" s="81"/>
      <c r="AS111" s="81"/>
      <c r="AT111" s="81"/>
      <c r="AU111" s="81"/>
      <c r="AV111" s="81">
        <f>2974.04+2647</f>
        <v>5621.04</v>
      </c>
      <c r="AW111" s="81"/>
      <c r="AX111" s="81"/>
      <c r="AY111" s="81">
        <f>2898.78</f>
        <v>2898.78</v>
      </c>
      <c r="AZ111" s="81"/>
      <c r="BA111" s="81"/>
      <c r="BB111" s="81">
        <f>2673.82</f>
        <v>2673.82</v>
      </c>
      <c r="BC111" s="81"/>
      <c r="BD111" s="81"/>
      <c r="BE111" s="81">
        <f>2877.32</f>
        <v>2877.32</v>
      </c>
      <c r="BF111" s="81"/>
      <c r="BG111" s="81"/>
      <c r="BH111" s="81">
        <f>2935.22+2647</f>
        <v>5582.2199999999993</v>
      </c>
      <c r="BI111" s="81"/>
      <c r="BJ111" s="81"/>
      <c r="BK111" s="82">
        <v>25533.759999999998</v>
      </c>
      <c r="BL111" s="82">
        <v>5287.8</v>
      </c>
      <c r="BM111" s="82">
        <v>0</v>
      </c>
      <c r="BN111" s="81">
        <f t="shared" si="428"/>
        <v>3.637978807091713E-12</v>
      </c>
      <c r="BO111" s="75">
        <f t="shared" si="429"/>
        <v>0</v>
      </c>
      <c r="BP111" s="81">
        <f t="shared" si="430"/>
        <v>3.637978807091713E-12</v>
      </c>
      <c r="BQ111" s="81">
        <f t="shared" si="431"/>
        <v>3049.739999999998</v>
      </c>
      <c r="BR111" s="81">
        <f t="shared" si="432"/>
        <v>0</v>
      </c>
      <c r="BS111" s="81">
        <f t="shared" si="433"/>
        <v>3049.739999999998</v>
      </c>
      <c r="BT111" s="81">
        <f t="shared" si="434"/>
        <v>0</v>
      </c>
      <c r="BU111" s="81">
        <f t="shared" si="435"/>
        <v>3.637978807091713E-12</v>
      </c>
      <c r="BV111" s="81">
        <f t="shared" si="436"/>
        <v>3049.739999999998</v>
      </c>
      <c r="BW111" s="81">
        <f t="shared" si="437"/>
        <v>3049.7400000000016</v>
      </c>
      <c r="BX111" s="1"/>
      <c r="BY111" s="1"/>
      <c r="BZ111" s="1"/>
      <c r="CA111" s="1"/>
      <c r="CB111" s="1"/>
      <c r="CC111" s="1"/>
      <c r="CD111" s="1"/>
      <c r="CE111" s="1"/>
      <c r="CF111" s="1"/>
      <c r="CG111" s="1"/>
    </row>
    <row r="112" spans="1:85" ht="15.75" customHeight="1">
      <c r="A112" s="89" t="s">
        <v>341</v>
      </c>
      <c r="B112" s="90"/>
      <c r="C112" s="178" t="s">
        <v>342</v>
      </c>
      <c r="D112" s="179" t="s">
        <v>343</v>
      </c>
      <c r="E112" s="174"/>
      <c r="F112" s="175"/>
      <c r="G112" s="71">
        <f t="shared" si="421"/>
        <v>0</v>
      </c>
      <c r="H112" s="70"/>
      <c r="I112" s="72">
        <f t="shared" si="45"/>
        <v>0</v>
      </c>
      <c r="J112" s="72">
        <f t="shared" si="46"/>
        <v>0</v>
      </c>
      <c r="K112" s="73">
        <v>2643.9</v>
      </c>
      <c r="L112" s="81"/>
      <c r="M112" s="81"/>
      <c r="N112" s="88"/>
      <c r="O112" s="77">
        <f t="shared" ref="O112:Q112" si="444">AA112+AD112+AG112+AJ112+AM112+AP112+AS112+AV112+AY112+BB112+BE112+BH112</f>
        <v>2643.9</v>
      </c>
      <c r="P112" s="77">
        <f t="shared" si="444"/>
        <v>0</v>
      </c>
      <c r="Q112" s="77">
        <f t="shared" si="444"/>
        <v>0</v>
      </c>
      <c r="R112" s="77">
        <f t="shared" ref="R112:T112" si="445">IF(BK112=0,SUM(AA112+AD112+AG112+AJ112+AM112+AP112+AS112+AV112+AY112+BB112+BE112+BH112),BK112)</f>
        <v>2643.9</v>
      </c>
      <c r="S112" s="77">
        <f t="shared" si="445"/>
        <v>0</v>
      </c>
      <c r="T112" s="77">
        <f t="shared" si="445"/>
        <v>0</v>
      </c>
      <c r="U112" s="79">
        <f t="shared" si="424"/>
        <v>0</v>
      </c>
      <c r="V112" s="79">
        <f t="shared" si="425"/>
        <v>0</v>
      </c>
      <c r="W112" s="79">
        <f t="shared" si="426"/>
        <v>0</v>
      </c>
      <c r="X112" s="80">
        <f t="shared" ref="X112:Y112" si="446">IF(O112&gt;0,O112/K112,0)</f>
        <v>1</v>
      </c>
      <c r="Y112" s="80">
        <f t="shared" si="446"/>
        <v>0</v>
      </c>
      <c r="Z112" s="80">
        <f t="shared" si="5"/>
        <v>0</v>
      </c>
      <c r="AA112" s="81"/>
      <c r="AB112" s="81"/>
      <c r="AC112" s="81"/>
      <c r="AD112" s="81"/>
      <c r="AE112" s="83"/>
      <c r="AF112" s="83"/>
      <c r="AG112" s="83"/>
      <c r="AH112" s="83"/>
      <c r="AI112" s="81"/>
      <c r="AJ112" s="82">
        <v>2643.9</v>
      </c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2">
        <v>2643.9</v>
      </c>
      <c r="BL112" s="82">
        <v>0</v>
      </c>
      <c r="BM112" s="82">
        <v>0</v>
      </c>
      <c r="BN112" s="81">
        <f t="shared" si="428"/>
        <v>0</v>
      </c>
      <c r="BO112" s="75">
        <f t="shared" si="429"/>
        <v>0</v>
      </c>
      <c r="BP112" s="81">
        <f t="shared" si="430"/>
        <v>0</v>
      </c>
      <c r="BQ112" s="81">
        <f t="shared" si="431"/>
        <v>0</v>
      </c>
      <c r="BR112" s="81">
        <f t="shared" si="432"/>
        <v>0</v>
      </c>
      <c r="BS112" s="81">
        <f t="shared" si="433"/>
        <v>0</v>
      </c>
      <c r="BT112" s="81">
        <f t="shared" si="434"/>
        <v>0</v>
      </c>
      <c r="BU112" s="81">
        <f t="shared" si="435"/>
        <v>0</v>
      </c>
      <c r="BV112" s="81">
        <f t="shared" si="436"/>
        <v>0</v>
      </c>
      <c r="BW112" s="81">
        <f t="shared" si="437"/>
        <v>0</v>
      </c>
      <c r="BX112" s="1"/>
      <c r="BY112" s="1"/>
      <c r="BZ112" s="1"/>
      <c r="CA112" s="1"/>
      <c r="CB112" s="1"/>
      <c r="CC112" s="1"/>
      <c r="CD112" s="1"/>
      <c r="CE112" s="1"/>
      <c r="CF112" s="1"/>
      <c r="CG112" s="1"/>
    </row>
    <row r="113" spans="1:85" ht="15.75">
      <c r="A113" s="109"/>
      <c r="B113" s="110"/>
      <c r="C113" s="111"/>
      <c r="D113" s="112" t="s">
        <v>344</v>
      </c>
      <c r="E113" s="58">
        <f t="shared" ref="E113:H113" si="447">SUM(E114:E117)</f>
        <v>5000</v>
      </c>
      <c r="F113" s="59">
        <f t="shared" si="447"/>
        <v>0</v>
      </c>
      <c r="G113" s="59">
        <f t="shared" si="447"/>
        <v>5000</v>
      </c>
      <c r="H113" s="59">
        <f t="shared" si="447"/>
        <v>0</v>
      </c>
      <c r="I113" s="60">
        <f t="shared" si="45"/>
        <v>2.1294899999999997</v>
      </c>
      <c r="J113" s="60">
        <f t="shared" si="46"/>
        <v>2.0314079999999999</v>
      </c>
      <c r="K113" s="59">
        <f t="shared" ref="K113:W113" si="448">SUM(K114:K117)</f>
        <v>10647.449999999999</v>
      </c>
      <c r="L113" s="59">
        <f t="shared" si="448"/>
        <v>2113.5700000000002</v>
      </c>
      <c r="M113" s="59">
        <f t="shared" si="448"/>
        <v>0</v>
      </c>
      <c r="N113" s="59">
        <f t="shared" si="448"/>
        <v>0</v>
      </c>
      <c r="O113" s="59">
        <f t="shared" si="448"/>
        <v>10157.039999999999</v>
      </c>
      <c r="P113" s="59">
        <f t="shared" si="448"/>
        <v>2113.5699999999997</v>
      </c>
      <c r="Q113" s="59">
        <f t="shared" si="448"/>
        <v>0</v>
      </c>
      <c r="R113" s="59">
        <f t="shared" si="448"/>
        <v>10157.039999999999</v>
      </c>
      <c r="S113" s="59">
        <f t="shared" si="448"/>
        <v>2113.5700000000002</v>
      </c>
      <c r="T113" s="59">
        <f t="shared" si="448"/>
        <v>0</v>
      </c>
      <c r="U113" s="59">
        <f t="shared" si="448"/>
        <v>490.40999999999985</v>
      </c>
      <c r="V113" s="59">
        <f t="shared" si="448"/>
        <v>0</v>
      </c>
      <c r="W113" s="59">
        <f t="shared" si="448"/>
        <v>0</v>
      </c>
      <c r="X113" s="63">
        <f t="shared" ref="X113:Y113" si="449">IF(O113&gt;0,O113/K113,0)</f>
        <v>0.95394108448501758</v>
      </c>
      <c r="Y113" s="63">
        <f t="shared" si="449"/>
        <v>0.99999999999999978</v>
      </c>
      <c r="Z113" s="63">
        <f t="shared" si="5"/>
        <v>0</v>
      </c>
      <c r="AA113" s="59">
        <f t="shared" ref="AA113:BW113" si="450">SUM(AA114:AA117)</f>
        <v>0</v>
      </c>
      <c r="AB113" s="59">
        <f t="shared" si="450"/>
        <v>497.8</v>
      </c>
      <c r="AC113" s="59">
        <f t="shared" si="450"/>
        <v>0</v>
      </c>
      <c r="AD113" s="59">
        <f t="shared" si="450"/>
        <v>0</v>
      </c>
      <c r="AE113" s="59">
        <f t="shared" si="450"/>
        <v>95.24</v>
      </c>
      <c r="AF113" s="59">
        <f t="shared" si="450"/>
        <v>0</v>
      </c>
      <c r="AG113" s="59">
        <f t="shared" si="450"/>
        <v>0</v>
      </c>
      <c r="AH113" s="59">
        <f t="shared" si="450"/>
        <v>126.5</v>
      </c>
      <c r="AI113" s="59">
        <f t="shared" si="450"/>
        <v>0</v>
      </c>
      <c r="AJ113" s="59">
        <f t="shared" si="450"/>
        <v>0</v>
      </c>
      <c r="AK113" s="59">
        <f t="shared" si="450"/>
        <v>169.79</v>
      </c>
      <c r="AL113" s="59">
        <f t="shared" si="450"/>
        <v>0</v>
      </c>
      <c r="AM113" s="59">
        <f t="shared" si="450"/>
        <v>0</v>
      </c>
      <c r="AN113" s="59">
        <f t="shared" si="450"/>
        <v>129.54</v>
      </c>
      <c r="AO113" s="59">
        <f t="shared" si="450"/>
        <v>0</v>
      </c>
      <c r="AP113" s="59">
        <f t="shared" si="450"/>
        <v>0</v>
      </c>
      <c r="AQ113" s="59">
        <f t="shared" si="450"/>
        <v>419.87</v>
      </c>
      <c r="AR113" s="59">
        <f t="shared" si="450"/>
        <v>0</v>
      </c>
      <c r="AS113" s="59">
        <f t="shared" si="450"/>
        <v>0</v>
      </c>
      <c r="AT113" s="59">
        <f t="shared" si="450"/>
        <v>63.76</v>
      </c>
      <c r="AU113" s="59">
        <f t="shared" si="450"/>
        <v>0</v>
      </c>
      <c r="AV113" s="59">
        <f t="shared" si="450"/>
        <v>0</v>
      </c>
      <c r="AW113" s="59">
        <f t="shared" si="450"/>
        <v>211.75</v>
      </c>
      <c r="AX113" s="59">
        <f t="shared" si="450"/>
        <v>0</v>
      </c>
      <c r="AY113" s="59">
        <f t="shared" si="450"/>
        <v>73.08</v>
      </c>
      <c r="AZ113" s="59">
        <f t="shared" si="450"/>
        <v>154.29</v>
      </c>
      <c r="BA113" s="59">
        <f t="shared" si="450"/>
        <v>0</v>
      </c>
      <c r="BB113" s="59">
        <f t="shared" si="450"/>
        <v>8746.25</v>
      </c>
      <c r="BC113" s="59">
        <f t="shared" si="450"/>
        <v>245.03</v>
      </c>
      <c r="BD113" s="59">
        <f t="shared" si="450"/>
        <v>0</v>
      </c>
      <c r="BE113" s="59">
        <f t="shared" si="450"/>
        <v>1179.21</v>
      </c>
      <c r="BF113" s="59">
        <f t="shared" si="450"/>
        <v>0</v>
      </c>
      <c r="BG113" s="59">
        <f t="shared" si="450"/>
        <v>0</v>
      </c>
      <c r="BH113" s="59">
        <f t="shared" si="450"/>
        <v>158.5</v>
      </c>
      <c r="BI113" s="59">
        <f t="shared" si="450"/>
        <v>0</v>
      </c>
      <c r="BJ113" s="59">
        <f t="shared" si="450"/>
        <v>0</v>
      </c>
      <c r="BK113" s="59">
        <f t="shared" si="450"/>
        <v>10157.039999999999</v>
      </c>
      <c r="BL113" s="59">
        <f t="shared" si="450"/>
        <v>2113.5700000000002</v>
      </c>
      <c r="BM113" s="59">
        <f t="shared" si="450"/>
        <v>0</v>
      </c>
      <c r="BN113" s="59">
        <f t="shared" si="450"/>
        <v>0</v>
      </c>
      <c r="BO113" s="59">
        <f t="shared" si="450"/>
        <v>0</v>
      </c>
      <c r="BP113" s="59">
        <f t="shared" si="450"/>
        <v>0</v>
      </c>
      <c r="BQ113" s="59">
        <f t="shared" si="450"/>
        <v>490.40999999999985</v>
      </c>
      <c r="BR113" s="59">
        <f t="shared" si="450"/>
        <v>0</v>
      </c>
      <c r="BS113" s="59">
        <f t="shared" si="450"/>
        <v>490.40999999999985</v>
      </c>
      <c r="BT113" s="59">
        <f t="shared" si="450"/>
        <v>0</v>
      </c>
      <c r="BU113" s="59">
        <f t="shared" si="450"/>
        <v>0</v>
      </c>
      <c r="BV113" s="59">
        <f t="shared" si="450"/>
        <v>490.40999999999985</v>
      </c>
      <c r="BW113" s="59">
        <f t="shared" si="450"/>
        <v>490.40999999999985</v>
      </c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</row>
    <row r="114" spans="1:85" ht="15.75" customHeight="1">
      <c r="A114" s="172" t="s">
        <v>345</v>
      </c>
      <c r="B114" s="146" t="s">
        <v>346</v>
      </c>
      <c r="C114" s="68" t="s">
        <v>347</v>
      </c>
      <c r="D114" s="173" t="s">
        <v>348</v>
      </c>
      <c r="E114" s="70">
        <v>5000</v>
      </c>
      <c r="F114" s="71"/>
      <c r="G114" s="71">
        <f t="shared" ref="G114:G117" si="451">E114-F114</f>
        <v>5000</v>
      </c>
      <c r="H114" s="70"/>
      <c r="I114" s="72">
        <f t="shared" si="45"/>
        <v>1.9</v>
      </c>
      <c r="J114" s="72">
        <f t="shared" si="46"/>
        <v>1.8019180000000001</v>
      </c>
      <c r="K114" s="73">
        <f>10000-500</f>
        <v>9500</v>
      </c>
      <c r="L114" s="81">
        <v>2113.5700000000002</v>
      </c>
      <c r="M114" s="81"/>
      <c r="N114" s="88"/>
      <c r="O114" s="77">
        <f t="shared" ref="O114:Q114" si="452">AA114+AD114+AG114+AJ114+AM114+AP114+AS114+AV114+AY114+BB114+BE114+BH114</f>
        <v>9009.59</v>
      </c>
      <c r="P114" s="77">
        <f t="shared" si="452"/>
        <v>2113.5699999999997</v>
      </c>
      <c r="Q114" s="77">
        <f t="shared" si="452"/>
        <v>0</v>
      </c>
      <c r="R114" s="77">
        <f t="shared" ref="R114:T114" si="453">IF(BK114=0,SUM(AA114+AD114+AG114+AJ114+AM114+AP114+AS114+AV114+AY114+BB114+BE114+BH114),BK114)</f>
        <v>9009.59</v>
      </c>
      <c r="S114" s="77">
        <f t="shared" si="453"/>
        <v>2113.5700000000002</v>
      </c>
      <c r="T114" s="77">
        <f t="shared" si="453"/>
        <v>0</v>
      </c>
      <c r="U114" s="78">
        <f t="shared" ref="U114:U117" si="454">K114-O114</f>
        <v>490.40999999999985</v>
      </c>
      <c r="V114" s="79">
        <f t="shared" ref="V114:V117" si="455">L114-M114-S114</f>
        <v>0</v>
      </c>
      <c r="W114" s="79">
        <f t="shared" ref="W114:W117" si="456">N114-Q114</f>
        <v>0</v>
      </c>
      <c r="X114" s="80">
        <f t="shared" ref="X114:Y114" si="457">IF(O114&gt;0,O114/K114,0)</f>
        <v>0.94837789473684209</v>
      </c>
      <c r="Y114" s="80">
        <f t="shared" si="457"/>
        <v>0.99999999999999978</v>
      </c>
      <c r="Z114" s="80">
        <f t="shared" si="5"/>
        <v>0</v>
      </c>
      <c r="AA114" s="81"/>
      <c r="AB114" s="82">
        <v>497.8</v>
      </c>
      <c r="AC114" s="81"/>
      <c r="AD114" s="81"/>
      <c r="AE114" s="128">
        <v>95.24</v>
      </c>
      <c r="AF114" s="83"/>
      <c r="AG114" s="83"/>
      <c r="AH114" s="82">
        <v>126.5</v>
      </c>
      <c r="AI114" s="82"/>
      <c r="AJ114" s="81"/>
      <c r="AK114" s="82">
        <v>169.79</v>
      </c>
      <c r="AL114" s="81"/>
      <c r="AM114" s="81"/>
      <c r="AN114" s="82">
        <v>129.54</v>
      </c>
      <c r="AO114" s="81"/>
      <c r="AP114" s="81"/>
      <c r="AQ114" s="82">
        <v>419.87</v>
      </c>
      <c r="AR114" s="81"/>
      <c r="AS114" s="81"/>
      <c r="AT114" s="82">
        <v>63.76</v>
      </c>
      <c r="AU114" s="81"/>
      <c r="AV114" s="81"/>
      <c r="AW114" s="82">
        <v>211.75</v>
      </c>
      <c r="AX114" s="81"/>
      <c r="AY114" s="81"/>
      <c r="AZ114" s="81">
        <f>154.29</f>
        <v>154.29</v>
      </c>
      <c r="BA114" s="81"/>
      <c r="BB114" s="81">
        <f>8622.04</f>
        <v>8622.0400000000009</v>
      </c>
      <c r="BC114" s="81">
        <f>245.03</f>
        <v>245.03</v>
      </c>
      <c r="BD114" s="81"/>
      <c r="BE114" s="81">
        <f>229.05</f>
        <v>229.05</v>
      </c>
      <c r="BF114" s="81"/>
      <c r="BG114" s="81"/>
      <c r="BH114" s="81">
        <f>158.5</f>
        <v>158.5</v>
      </c>
      <c r="BI114" s="81"/>
      <c r="BJ114" s="81"/>
      <c r="BK114" s="82">
        <v>9009.59</v>
      </c>
      <c r="BL114" s="82">
        <v>2113.5700000000002</v>
      </c>
      <c r="BM114" s="82">
        <v>0</v>
      </c>
      <c r="BN114" s="81">
        <f t="shared" ref="BN114:BN117" si="458">IF(O114-BK114&gt;0,O114-BK114,0)</f>
        <v>0</v>
      </c>
      <c r="BO114" s="75">
        <f t="shared" ref="BO114:BO117" si="459">IF(Q114-BM114&gt;0,Q114-BM114,0)</f>
        <v>0</v>
      </c>
      <c r="BP114" s="81">
        <f t="shared" ref="BP114:BP117" si="460">IF(BN114+BO114&gt;0,BN114+BO114,0)</f>
        <v>0</v>
      </c>
      <c r="BQ114" s="81">
        <f t="shared" ref="BQ114:BQ117" si="461">IF(U114=0,0,U114)</f>
        <v>490.40999999999985</v>
      </c>
      <c r="BR114" s="81">
        <f t="shared" ref="BR114:BR117" si="462">IF(W114=0,0,W114)</f>
        <v>0</v>
      </c>
      <c r="BS114" s="81">
        <f t="shared" ref="BS114:BS117" si="463">IF(BQ114+BR114&gt;0,BQ114+BR114,0)</f>
        <v>490.40999999999985</v>
      </c>
      <c r="BT114" s="81">
        <f t="shared" ref="BT114:BT117" si="464">IF(V114&gt;0,V114,0)</f>
        <v>0</v>
      </c>
      <c r="BU114" s="81">
        <f t="shared" ref="BU114:BU117" si="465">IF(BP114=0,0,BP114)</f>
        <v>0</v>
      </c>
      <c r="BV114" s="81">
        <f t="shared" ref="BV114:BV117" si="466">IF(BS114=0,0,BS114)</f>
        <v>490.40999999999985</v>
      </c>
      <c r="BW114" s="81">
        <f t="shared" ref="BW114:BW117" si="467">IF(BP114+BT114+BV114&gt;0,BP114+BT114+BV114,0)</f>
        <v>490.40999999999985</v>
      </c>
      <c r="BX114" s="1"/>
      <c r="BY114" s="1"/>
      <c r="BZ114" s="1"/>
      <c r="CA114" s="1"/>
      <c r="CB114" s="1"/>
      <c r="CC114" s="1"/>
      <c r="CD114" s="1"/>
      <c r="CE114" s="1"/>
      <c r="CF114" s="1"/>
      <c r="CG114" s="1"/>
    </row>
    <row r="115" spans="1:85" ht="15.75" customHeight="1">
      <c r="A115" s="134" t="s">
        <v>349</v>
      </c>
      <c r="B115" s="146"/>
      <c r="C115" s="129" t="s">
        <v>350</v>
      </c>
      <c r="D115" s="126" t="s">
        <v>351</v>
      </c>
      <c r="E115" s="70"/>
      <c r="F115" s="71"/>
      <c r="G115" s="71">
        <f t="shared" si="451"/>
        <v>0</v>
      </c>
      <c r="H115" s="70"/>
      <c r="I115" s="72">
        <f t="shared" si="45"/>
        <v>0</v>
      </c>
      <c r="J115" s="72">
        <f t="shared" si="46"/>
        <v>0</v>
      </c>
      <c r="K115" s="73">
        <v>73.08</v>
      </c>
      <c r="L115" s="81"/>
      <c r="M115" s="82"/>
      <c r="N115" s="88"/>
      <c r="O115" s="77">
        <f t="shared" ref="O115:Q115" si="468">AA115+AD115+AG115+AJ115+AM115+AP115+AS115+AV115+AY115+BB115+BE115+BH115</f>
        <v>73.08</v>
      </c>
      <c r="P115" s="77">
        <f t="shared" si="468"/>
        <v>0</v>
      </c>
      <c r="Q115" s="77">
        <f t="shared" si="468"/>
        <v>0</v>
      </c>
      <c r="R115" s="77">
        <f t="shared" ref="R115:T115" si="469">IF(BK115=0,SUM(AA115+AD115+AG115+AJ115+AM115+AP115+AS115+AV115+AY115+BB115+BE115+BH115),BK115)</f>
        <v>73.08</v>
      </c>
      <c r="S115" s="77">
        <f t="shared" si="469"/>
        <v>0</v>
      </c>
      <c r="T115" s="77">
        <f t="shared" si="469"/>
        <v>0</v>
      </c>
      <c r="U115" s="79">
        <f t="shared" si="454"/>
        <v>0</v>
      </c>
      <c r="V115" s="79">
        <f t="shared" si="455"/>
        <v>0</v>
      </c>
      <c r="W115" s="79">
        <f t="shared" si="456"/>
        <v>0</v>
      </c>
      <c r="X115" s="80">
        <f t="shared" ref="X115:Y115" si="470">IF(O115&gt;0,O115/K115,0)</f>
        <v>1</v>
      </c>
      <c r="Y115" s="80">
        <f t="shared" si="470"/>
        <v>0</v>
      </c>
      <c r="Z115" s="80">
        <f t="shared" si="5"/>
        <v>0</v>
      </c>
      <c r="AA115" s="81"/>
      <c r="AB115" s="82"/>
      <c r="AC115" s="81"/>
      <c r="AD115" s="82"/>
      <c r="AE115" s="128"/>
      <c r="AF115" s="83"/>
      <c r="AG115" s="171"/>
      <c r="AH115" s="128"/>
      <c r="AI115" s="81"/>
      <c r="AJ115" s="82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2"/>
      <c r="AW115" s="81"/>
      <c r="AX115" s="81"/>
      <c r="AY115" s="82">
        <v>73.08</v>
      </c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2">
        <v>73.08</v>
      </c>
      <c r="BL115" s="82">
        <v>0</v>
      </c>
      <c r="BM115" s="82">
        <v>0</v>
      </c>
      <c r="BN115" s="81">
        <f t="shared" si="458"/>
        <v>0</v>
      </c>
      <c r="BO115" s="75">
        <f t="shared" si="459"/>
        <v>0</v>
      </c>
      <c r="BP115" s="81">
        <f t="shared" si="460"/>
        <v>0</v>
      </c>
      <c r="BQ115" s="81">
        <f t="shared" si="461"/>
        <v>0</v>
      </c>
      <c r="BR115" s="81">
        <f t="shared" si="462"/>
        <v>0</v>
      </c>
      <c r="BS115" s="81">
        <f t="shared" si="463"/>
        <v>0</v>
      </c>
      <c r="BT115" s="81">
        <f t="shared" si="464"/>
        <v>0</v>
      </c>
      <c r="BU115" s="81">
        <f t="shared" si="465"/>
        <v>0</v>
      </c>
      <c r="BV115" s="81">
        <f t="shared" si="466"/>
        <v>0</v>
      </c>
      <c r="BW115" s="81">
        <f t="shared" si="467"/>
        <v>0</v>
      </c>
      <c r="BX115" s="1"/>
      <c r="BY115" s="1"/>
      <c r="BZ115" s="1"/>
      <c r="CA115" s="1"/>
      <c r="CB115" s="1"/>
      <c r="CC115" s="1"/>
      <c r="CD115" s="1"/>
      <c r="CE115" s="1"/>
      <c r="CF115" s="1"/>
      <c r="CG115" s="1"/>
    </row>
    <row r="116" spans="1:85" ht="15.75" customHeight="1">
      <c r="A116" s="134" t="s">
        <v>352</v>
      </c>
      <c r="B116" s="146"/>
      <c r="C116" s="129" t="s">
        <v>350</v>
      </c>
      <c r="D116" s="126" t="s">
        <v>353</v>
      </c>
      <c r="E116" s="70"/>
      <c r="F116" s="71"/>
      <c r="G116" s="71">
        <f t="shared" si="451"/>
        <v>0</v>
      </c>
      <c r="H116" s="70"/>
      <c r="I116" s="72">
        <f t="shared" si="45"/>
        <v>0</v>
      </c>
      <c r="J116" s="72">
        <f t="shared" si="46"/>
        <v>0</v>
      </c>
      <c r="K116" s="73">
        <v>950.16</v>
      </c>
      <c r="L116" s="81"/>
      <c r="M116" s="82"/>
      <c r="N116" s="88"/>
      <c r="O116" s="77">
        <f t="shared" ref="O116:Q116" si="471">AA116+AD116+AG116+AJ116+AM116+AP116+AS116+AV116+AY116+BB116+BE116+BH116</f>
        <v>950.16</v>
      </c>
      <c r="P116" s="77">
        <f t="shared" si="471"/>
        <v>0</v>
      </c>
      <c r="Q116" s="77">
        <f t="shared" si="471"/>
        <v>0</v>
      </c>
      <c r="R116" s="77">
        <f t="shared" ref="R116:T116" si="472">IF(BK116=0,SUM(AA116+AD116+AG116+AJ116+AM116+AP116+AS116+AV116+AY116+BB116+BE116+BH116),BK116)</f>
        <v>950.16</v>
      </c>
      <c r="S116" s="77">
        <f t="shared" si="472"/>
        <v>0</v>
      </c>
      <c r="T116" s="77">
        <f t="shared" si="472"/>
        <v>0</v>
      </c>
      <c r="U116" s="79">
        <f t="shared" si="454"/>
        <v>0</v>
      </c>
      <c r="V116" s="79">
        <f t="shared" si="455"/>
        <v>0</v>
      </c>
      <c r="W116" s="79">
        <f t="shared" si="456"/>
        <v>0</v>
      </c>
      <c r="X116" s="80">
        <f t="shared" ref="X116:Y116" si="473">IF(O116&gt;0,O116/K116,0)</f>
        <v>1</v>
      </c>
      <c r="Y116" s="80">
        <f t="shared" si="473"/>
        <v>0</v>
      </c>
      <c r="Z116" s="80">
        <f t="shared" si="5"/>
        <v>0</v>
      </c>
      <c r="AA116" s="81"/>
      <c r="AB116" s="82"/>
      <c r="AC116" s="81"/>
      <c r="AD116" s="82"/>
      <c r="AE116" s="128"/>
      <c r="AF116" s="83"/>
      <c r="AG116" s="171"/>
      <c r="AH116" s="128"/>
      <c r="AI116" s="81"/>
      <c r="AJ116" s="82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2"/>
      <c r="AW116" s="81"/>
      <c r="AX116" s="81"/>
      <c r="AY116" s="81"/>
      <c r="AZ116" s="81"/>
      <c r="BA116" s="81"/>
      <c r="BB116" s="81"/>
      <c r="BC116" s="81"/>
      <c r="BD116" s="81"/>
      <c r="BE116" s="81">
        <f>(39.32*4)+(11*72.08)</f>
        <v>950.16</v>
      </c>
      <c r="BF116" s="81"/>
      <c r="BG116" s="81"/>
      <c r="BH116" s="81"/>
      <c r="BI116" s="81"/>
      <c r="BJ116" s="81"/>
      <c r="BK116" s="82">
        <v>950.16</v>
      </c>
      <c r="BL116" s="82">
        <v>0</v>
      </c>
      <c r="BM116" s="82">
        <v>0</v>
      </c>
      <c r="BN116" s="81">
        <f t="shared" si="458"/>
        <v>0</v>
      </c>
      <c r="BO116" s="75">
        <f t="shared" si="459"/>
        <v>0</v>
      </c>
      <c r="BP116" s="81">
        <f t="shared" si="460"/>
        <v>0</v>
      </c>
      <c r="BQ116" s="81">
        <f t="shared" si="461"/>
        <v>0</v>
      </c>
      <c r="BR116" s="81">
        <f t="shared" si="462"/>
        <v>0</v>
      </c>
      <c r="BS116" s="81">
        <f t="shared" si="463"/>
        <v>0</v>
      </c>
      <c r="BT116" s="81">
        <f t="shared" si="464"/>
        <v>0</v>
      </c>
      <c r="BU116" s="81">
        <f t="shared" si="465"/>
        <v>0</v>
      </c>
      <c r="BV116" s="81">
        <f t="shared" si="466"/>
        <v>0</v>
      </c>
      <c r="BW116" s="81">
        <f t="shared" si="467"/>
        <v>0</v>
      </c>
      <c r="BX116" s="1"/>
      <c r="BY116" s="1"/>
      <c r="BZ116" s="1"/>
      <c r="CA116" s="1"/>
      <c r="CB116" s="1"/>
      <c r="CC116" s="1"/>
      <c r="CD116" s="1"/>
      <c r="CE116" s="1"/>
      <c r="CF116" s="1"/>
      <c r="CG116" s="1"/>
    </row>
    <row r="117" spans="1:85" ht="15.75" customHeight="1">
      <c r="A117" s="180" t="s">
        <v>354</v>
      </c>
      <c r="B117" s="90"/>
      <c r="C117" s="181" t="s">
        <v>355</v>
      </c>
      <c r="D117" s="182" t="s">
        <v>356</v>
      </c>
      <c r="E117" s="174"/>
      <c r="F117" s="175"/>
      <c r="G117" s="71">
        <f t="shared" si="451"/>
        <v>0</v>
      </c>
      <c r="H117" s="70"/>
      <c r="I117" s="72">
        <f t="shared" si="45"/>
        <v>0</v>
      </c>
      <c r="J117" s="72">
        <f t="shared" si="46"/>
        <v>0</v>
      </c>
      <c r="K117" s="73">
        <v>124.21</v>
      </c>
      <c r="L117" s="81"/>
      <c r="M117" s="82"/>
      <c r="N117" s="107"/>
      <c r="O117" s="77">
        <f t="shared" ref="O117:Q117" si="474">AA117+AD117+AG117+AJ117+AM117+AP117+AS117+AV117+AY117+BB117+BE117+BH117</f>
        <v>124.21</v>
      </c>
      <c r="P117" s="77">
        <f t="shared" si="474"/>
        <v>0</v>
      </c>
      <c r="Q117" s="77">
        <f t="shared" si="474"/>
        <v>0</v>
      </c>
      <c r="R117" s="77">
        <f t="shared" ref="R117:T117" si="475">IF(BK117=0,SUM(AA117+AD117+AG117+AJ117+AM117+AP117+AS117+AV117+AY117+BB117+BE117+BH117),BK117)</f>
        <v>124.21</v>
      </c>
      <c r="S117" s="77">
        <f t="shared" si="475"/>
        <v>0</v>
      </c>
      <c r="T117" s="77">
        <f t="shared" si="475"/>
        <v>0</v>
      </c>
      <c r="U117" s="79">
        <f t="shared" si="454"/>
        <v>0</v>
      </c>
      <c r="V117" s="79">
        <f t="shared" si="455"/>
        <v>0</v>
      </c>
      <c r="W117" s="79">
        <f t="shared" si="456"/>
        <v>0</v>
      </c>
      <c r="X117" s="80">
        <f t="shared" ref="X117:Y117" si="476">IF(O117&gt;0,O117/K117,0)</f>
        <v>1</v>
      </c>
      <c r="Y117" s="80">
        <f t="shared" si="476"/>
        <v>0</v>
      </c>
      <c r="Z117" s="80">
        <f t="shared" si="5"/>
        <v>0</v>
      </c>
      <c r="AA117" s="81"/>
      <c r="AB117" s="81"/>
      <c r="AC117" s="81"/>
      <c r="AD117" s="81"/>
      <c r="AE117" s="83"/>
      <c r="AF117" s="83"/>
      <c r="AG117" s="83"/>
      <c r="AH117" s="128"/>
      <c r="AI117" s="81"/>
      <c r="AJ117" s="81"/>
      <c r="AK117" s="82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>
        <f>118.49+5.72</f>
        <v>124.21</v>
      </c>
      <c r="BC117" s="81"/>
      <c r="BD117" s="81"/>
      <c r="BE117" s="81"/>
      <c r="BF117" s="81"/>
      <c r="BG117" s="81"/>
      <c r="BH117" s="81"/>
      <c r="BI117" s="81"/>
      <c r="BJ117" s="81"/>
      <c r="BK117" s="82">
        <v>124.21</v>
      </c>
      <c r="BL117" s="82">
        <v>0</v>
      </c>
      <c r="BM117" s="82">
        <v>0</v>
      </c>
      <c r="BN117" s="81">
        <f t="shared" si="458"/>
        <v>0</v>
      </c>
      <c r="BO117" s="75">
        <f t="shared" si="459"/>
        <v>0</v>
      </c>
      <c r="BP117" s="81">
        <f t="shared" si="460"/>
        <v>0</v>
      </c>
      <c r="BQ117" s="81">
        <f t="shared" si="461"/>
        <v>0</v>
      </c>
      <c r="BR117" s="81">
        <f t="shared" si="462"/>
        <v>0</v>
      </c>
      <c r="BS117" s="81">
        <f t="shared" si="463"/>
        <v>0</v>
      </c>
      <c r="BT117" s="81">
        <f t="shared" si="464"/>
        <v>0</v>
      </c>
      <c r="BU117" s="81">
        <f t="shared" si="465"/>
        <v>0</v>
      </c>
      <c r="BV117" s="81">
        <f t="shared" si="466"/>
        <v>0</v>
      </c>
      <c r="BW117" s="81">
        <f t="shared" si="467"/>
        <v>0</v>
      </c>
      <c r="BX117" s="1"/>
      <c r="BY117" s="1"/>
      <c r="BZ117" s="1"/>
      <c r="CA117" s="1"/>
      <c r="CB117" s="1"/>
      <c r="CC117" s="1"/>
      <c r="CD117" s="1"/>
      <c r="CE117" s="1"/>
      <c r="CF117" s="1"/>
      <c r="CG117" s="1"/>
    </row>
    <row r="118" spans="1:85" ht="15.75">
      <c r="A118" s="109"/>
      <c r="B118" s="110"/>
      <c r="C118" s="111"/>
      <c r="D118" s="112" t="s">
        <v>357</v>
      </c>
      <c r="E118" s="58">
        <f t="shared" ref="E118:H118" si="477">SUM(E119)</f>
        <v>0</v>
      </c>
      <c r="F118" s="59">
        <f t="shared" si="477"/>
        <v>0</v>
      </c>
      <c r="G118" s="59">
        <f t="shared" si="477"/>
        <v>0</v>
      </c>
      <c r="H118" s="59">
        <f t="shared" si="477"/>
        <v>0</v>
      </c>
      <c r="I118" s="60">
        <f t="shared" si="45"/>
        <v>0</v>
      </c>
      <c r="J118" s="60">
        <f t="shared" si="46"/>
        <v>0</v>
      </c>
      <c r="K118" s="59">
        <f t="shared" ref="K118:W118" si="478">SUM(K119)</f>
        <v>1293.68</v>
      </c>
      <c r="L118" s="59">
        <f t="shared" si="478"/>
        <v>0</v>
      </c>
      <c r="M118" s="59">
        <f t="shared" si="478"/>
        <v>0</v>
      </c>
      <c r="N118" s="59">
        <f t="shared" si="478"/>
        <v>0</v>
      </c>
      <c r="O118" s="59">
        <f t="shared" si="478"/>
        <v>1293.6799999999998</v>
      </c>
      <c r="P118" s="59">
        <f t="shared" si="478"/>
        <v>0</v>
      </c>
      <c r="Q118" s="59">
        <f t="shared" si="478"/>
        <v>0</v>
      </c>
      <c r="R118" s="59">
        <f t="shared" si="478"/>
        <v>1293.68</v>
      </c>
      <c r="S118" s="59">
        <f t="shared" si="478"/>
        <v>0</v>
      </c>
      <c r="T118" s="59">
        <f t="shared" si="478"/>
        <v>0</v>
      </c>
      <c r="U118" s="59">
        <f t="shared" si="478"/>
        <v>0</v>
      </c>
      <c r="V118" s="59">
        <f t="shared" si="478"/>
        <v>0</v>
      </c>
      <c r="W118" s="59">
        <f t="shared" si="478"/>
        <v>0</v>
      </c>
      <c r="X118" s="63">
        <f t="shared" ref="X118:Y118" si="479">IF(O118&gt;0,O118/K118,0)</f>
        <v>0.99999999999999978</v>
      </c>
      <c r="Y118" s="63">
        <f t="shared" si="479"/>
        <v>0</v>
      </c>
      <c r="Z118" s="63">
        <f t="shared" si="5"/>
        <v>0</v>
      </c>
      <c r="AA118" s="59">
        <f t="shared" ref="AA118:BW118" si="480">SUM(AA119)</f>
        <v>0</v>
      </c>
      <c r="AB118" s="59">
        <f t="shared" si="480"/>
        <v>0</v>
      </c>
      <c r="AC118" s="59">
        <f t="shared" si="480"/>
        <v>0</v>
      </c>
      <c r="AD118" s="59">
        <f t="shared" si="480"/>
        <v>600</v>
      </c>
      <c r="AE118" s="59">
        <f t="shared" si="480"/>
        <v>0</v>
      </c>
      <c r="AF118" s="59">
        <f t="shared" si="480"/>
        <v>0</v>
      </c>
      <c r="AG118" s="59">
        <f t="shared" si="480"/>
        <v>0</v>
      </c>
      <c r="AH118" s="59">
        <f t="shared" si="480"/>
        <v>0</v>
      </c>
      <c r="AI118" s="59">
        <f t="shared" si="480"/>
        <v>0</v>
      </c>
      <c r="AJ118" s="59">
        <f t="shared" si="480"/>
        <v>0</v>
      </c>
      <c r="AK118" s="59">
        <f t="shared" si="480"/>
        <v>0</v>
      </c>
      <c r="AL118" s="59">
        <f t="shared" si="480"/>
        <v>0</v>
      </c>
      <c r="AM118" s="59">
        <f t="shared" si="480"/>
        <v>0</v>
      </c>
      <c r="AN118" s="59">
        <f t="shared" si="480"/>
        <v>0</v>
      </c>
      <c r="AO118" s="59">
        <f t="shared" si="480"/>
        <v>0</v>
      </c>
      <c r="AP118" s="59">
        <f t="shared" si="480"/>
        <v>35</v>
      </c>
      <c r="AQ118" s="59">
        <f t="shared" si="480"/>
        <v>0</v>
      </c>
      <c r="AR118" s="59">
        <f t="shared" si="480"/>
        <v>0</v>
      </c>
      <c r="AS118" s="59">
        <f t="shared" si="480"/>
        <v>0</v>
      </c>
      <c r="AT118" s="59">
        <f t="shared" si="480"/>
        <v>0</v>
      </c>
      <c r="AU118" s="59">
        <f t="shared" si="480"/>
        <v>0</v>
      </c>
      <c r="AV118" s="59">
        <f t="shared" si="480"/>
        <v>88.78</v>
      </c>
      <c r="AW118" s="59">
        <f t="shared" si="480"/>
        <v>0</v>
      </c>
      <c r="AX118" s="59">
        <f t="shared" si="480"/>
        <v>0</v>
      </c>
      <c r="AY118" s="59">
        <f t="shared" si="480"/>
        <v>249.9</v>
      </c>
      <c r="AZ118" s="59">
        <f t="shared" si="480"/>
        <v>0</v>
      </c>
      <c r="BA118" s="59">
        <f t="shared" si="480"/>
        <v>0</v>
      </c>
      <c r="BB118" s="59">
        <f t="shared" si="480"/>
        <v>0</v>
      </c>
      <c r="BC118" s="59">
        <f t="shared" si="480"/>
        <v>0</v>
      </c>
      <c r="BD118" s="59">
        <f t="shared" si="480"/>
        <v>0</v>
      </c>
      <c r="BE118" s="59">
        <f t="shared" si="480"/>
        <v>320</v>
      </c>
      <c r="BF118" s="59">
        <f t="shared" si="480"/>
        <v>0</v>
      </c>
      <c r="BG118" s="59">
        <f t="shared" si="480"/>
        <v>0</v>
      </c>
      <c r="BH118" s="59">
        <f t="shared" si="480"/>
        <v>0</v>
      </c>
      <c r="BI118" s="59">
        <f t="shared" si="480"/>
        <v>0</v>
      </c>
      <c r="BJ118" s="59">
        <f t="shared" si="480"/>
        <v>0</v>
      </c>
      <c r="BK118" s="59">
        <f t="shared" si="480"/>
        <v>1293.68</v>
      </c>
      <c r="BL118" s="59">
        <f t="shared" si="480"/>
        <v>0</v>
      </c>
      <c r="BM118" s="59">
        <f t="shared" si="480"/>
        <v>0</v>
      </c>
      <c r="BN118" s="59">
        <f t="shared" si="480"/>
        <v>0</v>
      </c>
      <c r="BO118" s="59">
        <f t="shared" si="480"/>
        <v>0</v>
      </c>
      <c r="BP118" s="59">
        <f t="shared" si="480"/>
        <v>0</v>
      </c>
      <c r="BQ118" s="59">
        <f t="shared" si="480"/>
        <v>0</v>
      </c>
      <c r="BR118" s="59">
        <f t="shared" si="480"/>
        <v>0</v>
      </c>
      <c r="BS118" s="59">
        <f t="shared" si="480"/>
        <v>0</v>
      </c>
      <c r="BT118" s="59">
        <f t="shared" si="480"/>
        <v>0</v>
      </c>
      <c r="BU118" s="59">
        <f t="shared" si="480"/>
        <v>0</v>
      </c>
      <c r="BV118" s="59">
        <f t="shared" si="480"/>
        <v>0</v>
      </c>
      <c r="BW118" s="59">
        <f t="shared" si="480"/>
        <v>0</v>
      </c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</row>
    <row r="119" spans="1:85" ht="15.75" customHeight="1">
      <c r="A119" s="183" t="s">
        <v>358</v>
      </c>
      <c r="B119" s="184"/>
      <c r="C119" s="185" t="s">
        <v>359</v>
      </c>
      <c r="D119" s="186" t="s">
        <v>360</v>
      </c>
      <c r="E119" s="70"/>
      <c r="F119" s="70"/>
      <c r="G119" s="70">
        <f>E119-F119</f>
        <v>0</v>
      </c>
      <c r="H119" s="70"/>
      <c r="I119" s="187">
        <f t="shared" si="45"/>
        <v>0</v>
      </c>
      <c r="J119" s="187">
        <f t="shared" si="46"/>
        <v>0</v>
      </c>
      <c r="K119" s="73">
        <f>3000-1846.32+140</f>
        <v>1293.68</v>
      </c>
      <c r="L119" s="88"/>
      <c r="M119" s="88"/>
      <c r="N119" s="88"/>
      <c r="O119" s="79">
        <f t="shared" ref="O119:Q119" si="481">AA119+AD119+AG119+AJ119+AM119+AP119+AS119+AV119+AY119+BB119+BE119+BH119</f>
        <v>1293.6799999999998</v>
      </c>
      <c r="P119" s="79">
        <f t="shared" si="481"/>
        <v>0</v>
      </c>
      <c r="Q119" s="79">
        <f t="shared" si="481"/>
        <v>0</v>
      </c>
      <c r="R119" s="79">
        <f t="shared" ref="R119:T119" si="482">IF(BK119=0,SUM(AA119+AD119+AG119+AJ119+AM119+AP119+AS119+AV119+AY119+BB119+BE119+BH119),BK119)</f>
        <v>1293.68</v>
      </c>
      <c r="S119" s="79">
        <f t="shared" si="482"/>
        <v>0</v>
      </c>
      <c r="T119" s="79">
        <f t="shared" si="482"/>
        <v>0</v>
      </c>
      <c r="U119" s="79">
        <f>K119-O119</f>
        <v>0</v>
      </c>
      <c r="V119" s="79">
        <f>L119-M119-S119</f>
        <v>0</v>
      </c>
      <c r="W119" s="79">
        <f>N119-Q119</f>
        <v>0</v>
      </c>
      <c r="X119" s="188">
        <f t="shared" ref="X119:Y119" si="483">IF(O119&gt;0,O119/K119,0)</f>
        <v>0.99999999999999978</v>
      </c>
      <c r="Y119" s="188">
        <f t="shared" si="483"/>
        <v>0</v>
      </c>
      <c r="Z119" s="188">
        <f t="shared" si="5"/>
        <v>0</v>
      </c>
      <c r="AA119" s="88"/>
      <c r="AB119" s="88"/>
      <c r="AC119" s="88"/>
      <c r="AD119" s="73">
        <v>600</v>
      </c>
      <c r="AE119" s="189"/>
      <c r="AF119" s="189"/>
      <c r="AG119" s="189"/>
      <c r="AH119" s="189"/>
      <c r="AI119" s="88"/>
      <c r="AJ119" s="88"/>
      <c r="AK119" s="88"/>
      <c r="AL119" s="88"/>
      <c r="AM119" s="88"/>
      <c r="AN119" s="88"/>
      <c r="AO119" s="88"/>
      <c r="AP119" s="73">
        <v>35</v>
      </c>
      <c r="AQ119" s="88"/>
      <c r="AR119" s="88"/>
      <c r="AS119" s="88"/>
      <c r="AT119" s="88"/>
      <c r="AU119" s="88"/>
      <c r="AV119" s="73">
        <v>88.78</v>
      </c>
      <c r="AW119" s="88"/>
      <c r="AX119" s="88"/>
      <c r="AY119" s="73">
        <v>249.9</v>
      </c>
      <c r="AZ119" s="88"/>
      <c r="BA119" s="88"/>
      <c r="BB119" s="88"/>
      <c r="BC119" s="88"/>
      <c r="BD119" s="88"/>
      <c r="BE119" s="88">
        <f>180+140</f>
        <v>320</v>
      </c>
      <c r="BF119" s="88"/>
      <c r="BG119" s="88"/>
      <c r="BH119" s="88"/>
      <c r="BI119" s="88"/>
      <c r="BJ119" s="88"/>
      <c r="BK119" s="73">
        <v>1293.68</v>
      </c>
      <c r="BL119" s="73">
        <v>0</v>
      </c>
      <c r="BM119" s="73">
        <v>0</v>
      </c>
      <c r="BN119" s="81">
        <f>IF(O119-BK119&gt;0,O119-BK119,0)</f>
        <v>0</v>
      </c>
      <c r="BO119" s="75">
        <f>IF(Q119-BM119&gt;0,Q119-BM119,0)</f>
        <v>0</v>
      </c>
      <c r="BP119" s="81">
        <f>IF(BN119+BO119&gt;0,BN119+BO119,0)</f>
        <v>0</v>
      </c>
      <c r="BQ119" s="81">
        <f>IF(U119=0,0,U119)</f>
        <v>0</v>
      </c>
      <c r="BR119" s="81">
        <f>IF(W119=0,0,W119)</f>
        <v>0</v>
      </c>
      <c r="BS119" s="81">
        <f>IF(BQ119+BR119&gt;0,BQ119+BR119,0)</f>
        <v>0</v>
      </c>
      <c r="BT119" s="81">
        <f>IF(V119&gt;0,V119,0)</f>
        <v>0</v>
      </c>
      <c r="BU119" s="81">
        <f>IF(BP119=0,0,BP119)</f>
        <v>0</v>
      </c>
      <c r="BV119" s="81">
        <f>IF(BS119=0,0,BS119)</f>
        <v>0</v>
      </c>
      <c r="BW119" s="81">
        <f>IF(BP119+BT119+BV119&gt;0,BP119+BT119+BV119,0)</f>
        <v>0</v>
      </c>
      <c r="BX119" s="190"/>
      <c r="BY119" s="190"/>
      <c r="BZ119" s="190"/>
      <c r="CA119" s="190"/>
      <c r="CB119" s="190"/>
      <c r="CC119" s="190"/>
      <c r="CD119" s="190"/>
      <c r="CE119" s="190"/>
      <c r="CF119" s="190"/>
      <c r="CG119" s="190"/>
    </row>
    <row r="120" spans="1:85" ht="15.75">
      <c r="A120" s="109"/>
      <c r="B120" s="110"/>
      <c r="C120" s="111"/>
      <c r="D120" s="112" t="s">
        <v>361</v>
      </c>
      <c r="E120" s="58">
        <f t="shared" ref="E120:H120" si="484">SUM(E121)</f>
        <v>0</v>
      </c>
      <c r="F120" s="59">
        <f t="shared" si="484"/>
        <v>0</v>
      </c>
      <c r="G120" s="59">
        <f t="shared" si="484"/>
        <v>0</v>
      </c>
      <c r="H120" s="59">
        <f t="shared" si="484"/>
        <v>0</v>
      </c>
      <c r="I120" s="60">
        <f t="shared" si="45"/>
        <v>0</v>
      </c>
      <c r="J120" s="60">
        <f t="shared" si="46"/>
        <v>0</v>
      </c>
      <c r="K120" s="59">
        <f t="shared" ref="K120:W120" si="485">SUM(K121)</f>
        <v>232933.99</v>
      </c>
      <c r="L120" s="59">
        <f t="shared" si="485"/>
        <v>0</v>
      </c>
      <c r="M120" s="59">
        <f t="shared" si="485"/>
        <v>0</v>
      </c>
      <c r="N120" s="59">
        <f t="shared" si="485"/>
        <v>0</v>
      </c>
      <c r="O120" s="59">
        <f t="shared" si="485"/>
        <v>232933.99</v>
      </c>
      <c r="P120" s="59">
        <f t="shared" si="485"/>
        <v>0</v>
      </c>
      <c r="Q120" s="59">
        <f t="shared" si="485"/>
        <v>0</v>
      </c>
      <c r="R120" s="59">
        <f t="shared" si="485"/>
        <v>232933.99</v>
      </c>
      <c r="S120" s="59">
        <f t="shared" si="485"/>
        <v>0</v>
      </c>
      <c r="T120" s="59">
        <f t="shared" si="485"/>
        <v>0</v>
      </c>
      <c r="U120" s="59">
        <f t="shared" si="485"/>
        <v>0</v>
      </c>
      <c r="V120" s="59">
        <f t="shared" si="485"/>
        <v>0</v>
      </c>
      <c r="W120" s="59">
        <f t="shared" si="485"/>
        <v>0</v>
      </c>
      <c r="X120" s="63">
        <f t="shared" ref="X120:Y120" si="486">IF(O120&gt;0,O120/K120,0)</f>
        <v>1</v>
      </c>
      <c r="Y120" s="63">
        <f t="shared" si="486"/>
        <v>0</v>
      </c>
      <c r="Z120" s="63">
        <f t="shared" si="5"/>
        <v>0</v>
      </c>
      <c r="AA120" s="59">
        <f t="shared" ref="AA120:BW120" si="487">SUM(AA121)</f>
        <v>0</v>
      </c>
      <c r="AB120" s="59">
        <f t="shared" si="487"/>
        <v>0</v>
      </c>
      <c r="AC120" s="59">
        <f t="shared" si="487"/>
        <v>0</v>
      </c>
      <c r="AD120" s="59">
        <f t="shared" si="487"/>
        <v>0</v>
      </c>
      <c r="AE120" s="59">
        <f t="shared" si="487"/>
        <v>0</v>
      </c>
      <c r="AF120" s="59">
        <f t="shared" si="487"/>
        <v>0</v>
      </c>
      <c r="AG120" s="59">
        <f t="shared" si="487"/>
        <v>0</v>
      </c>
      <c r="AH120" s="59">
        <f t="shared" si="487"/>
        <v>0</v>
      </c>
      <c r="AI120" s="59">
        <f t="shared" si="487"/>
        <v>0</v>
      </c>
      <c r="AJ120" s="59">
        <f t="shared" si="487"/>
        <v>0</v>
      </c>
      <c r="AK120" s="59">
        <f t="shared" si="487"/>
        <v>0</v>
      </c>
      <c r="AL120" s="59">
        <f t="shared" si="487"/>
        <v>0</v>
      </c>
      <c r="AM120" s="59">
        <f t="shared" si="487"/>
        <v>0</v>
      </c>
      <c r="AN120" s="59">
        <f t="shared" si="487"/>
        <v>0</v>
      </c>
      <c r="AO120" s="59">
        <f t="shared" si="487"/>
        <v>0</v>
      </c>
      <c r="AP120" s="59">
        <f t="shared" si="487"/>
        <v>0</v>
      </c>
      <c r="AQ120" s="59">
        <f t="shared" si="487"/>
        <v>0</v>
      </c>
      <c r="AR120" s="59">
        <f t="shared" si="487"/>
        <v>0</v>
      </c>
      <c r="AS120" s="59">
        <f t="shared" si="487"/>
        <v>0</v>
      </c>
      <c r="AT120" s="59">
        <f t="shared" si="487"/>
        <v>0</v>
      </c>
      <c r="AU120" s="59">
        <f t="shared" si="487"/>
        <v>0</v>
      </c>
      <c r="AV120" s="59">
        <f t="shared" si="487"/>
        <v>0</v>
      </c>
      <c r="AW120" s="59">
        <f t="shared" si="487"/>
        <v>0</v>
      </c>
      <c r="AX120" s="59">
        <f t="shared" si="487"/>
        <v>0</v>
      </c>
      <c r="AY120" s="59">
        <f t="shared" si="487"/>
        <v>189313.25</v>
      </c>
      <c r="AZ120" s="59">
        <f t="shared" si="487"/>
        <v>0</v>
      </c>
      <c r="BA120" s="59">
        <f t="shared" si="487"/>
        <v>0</v>
      </c>
      <c r="BB120" s="59">
        <f t="shared" si="487"/>
        <v>43620.74</v>
      </c>
      <c r="BC120" s="59">
        <f t="shared" si="487"/>
        <v>0</v>
      </c>
      <c r="BD120" s="59">
        <f t="shared" si="487"/>
        <v>0</v>
      </c>
      <c r="BE120" s="59">
        <f t="shared" si="487"/>
        <v>0</v>
      </c>
      <c r="BF120" s="59">
        <f t="shared" si="487"/>
        <v>0</v>
      </c>
      <c r="BG120" s="59">
        <f t="shared" si="487"/>
        <v>0</v>
      </c>
      <c r="BH120" s="59">
        <f t="shared" si="487"/>
        <v>0</v>
      </c>
      <c r="BI120" s="59">
        <f t="shared" si="487"/>
        <v>0</v>
      </c>
      <c r="BJ120" s="59">
        <f t="shared" si="487"/>
        <v>0</v>
      </c>
      <c r="BK120" s="59">
        <f t="shared" si="487"/>
        <v>232933.99</v>
      </c>
      <c r="BL120" s="59">
        <f t="shared" si="487"/>
        <v>0</v>
      </c>
      <c r="BM120" s="59">
        <f t="shared" si="487"/>
        <v>0</v>
      </c>
      <c r="BN120" s="59">
        <f t="shared" si="487"/>
        <v>0</v>
      </c>
      <c r="BO120" s="59">
        <f t="shared" si="487"/>
        <v>0</v>
      </c>
      <c r="BP120" s="59">
        <f t="shared" si="487"/>
        <v>0</v>
      </c>
      <c r="BQ120" s="59">
        <f t="shared" si="487"/>
        <v>0</v>
      </c>
      <c r="BR120" s="59">
        <f t="shared" si="487"/>
        <v>0</v>
      </c>
      <c r="BS120" s="59">
        <f t="shared" si="487"/>
        <v>0</v>
      </c>
      <c r="BT120" s="59">
        <f t="shared" si="487"/>
        <v>0</v>
      </c>
      <c r="BU120" s="59">
        <f t="shared" si="487"/>
        <v>0</v>
      </c>
      <c r="BV120" s="59">
        <f t="shared" si="487"/>
        <v>0</v>
      </c>
      <c r="BW120" s="59">
        <f t="shared" si="487"/>
        <v>0</v>
      </c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</row>
    <row r="121" spans="1:85" ht="15.75" customHeight="1">
      <c r="A121" s="66" t="s">
        <v>362</v>
      </c>
      <c r="B121" s="191"/>
      <c r="C121" s="68" t="s">
        <v>363</v>
      </c>
      <c r="D121" s="192" t="s">
        <v>364</v>
      </c>
      <c r="E121" s="127">
        <v>0</v>
      </c>
      <c r="F121" s="71"/>
      <c r="G121" s="93">
        <v>0</v>
      </c>
      <c r="H121" s="127">
        <v>0</v>
      </c>
      <c r="I121" s="72">
        <f t="shared" si="45"/>
        <v>0</v>
      </c>
      <c r="J121" s="72">
        <f t="shared" si="46"/>
        <v>0</v>
      </c>
      <c r="K121" s="73">
        <v>232933.99</v>
      </c>
      <c r="L121" s="81"/>
      <c r="M121" s="81"/>
      <c r="N121" s="107"/>
      <c r="O121" s="77">
        <f t="shared" ref="O121:Q121" si="488">AA121+AD121+AG121+AJ121+AM121+AP121+AS121+AV121+AY121+BB121+BE121+BH121</f>
        <v>232933.99</v>
      </c>
      <c r="P121" s="77">
        <f t="shared" si="488"/>
        <v>0</v>
      </c>
      <c r="Q121" s="77">
        <f t="shared" si="488"/>
        <v>0</v>
      </c>
      <c r="R121" s="77">
        <f t="shared" ref="R121:T121" si="489">IF(BK121=0,SUM(AA121+AD121+AG121+AJ121+AM121+AP121+AS121+AV121+AY121+BB121+BE121+BH121),BK121)</f>
        <v>232933.99</v>
      </c>
      <c r="S121" s="77">
        <f t="shared" si="489"/>
        <v>0</v>
      </c>
      <c r="T121" s="77">
        <f t="shared" si="489"/>
        <v>0</v>
      </c>
      <c r="U121" s="78">
        <f>K121-O121</f>
        <v>0</v>
      </c>
      <c r="V121" s="79">
        <f>L121-M121-S121</f>
        <v>0</v>
      </c>
      <c r="W121" s="79">
        <f>N121-Q121</f>
        <v>0</v>
      </c>
      <c r="X121" s="80">
        <f t="shared" ref="X121:Y121" si="490">IF(O121&gt;0,O121/K121,0)</f>
        <v>1</v>
      </c>
      <c r="Y121" s="80">
        <f t="shared" si="490"/>
        <v>0</v>
      </c>
      <c r="Z121" s="80">
        <f t="shared" si="5"/>
        <v>0</v>
      </c>
      <c r="AA121" s="81"/>
      <c r="AB121" s="81"/>
      <c r="AC121" s="81"/>
      <c r="AD121" s="81"/>
      <c r="AE121" s="83"/>
      <c r="AF121" s="83"/>
      <c r="AG121" s="83"/>
      <c r="AH121" s="83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2">
        <v>189313.25</v>
      </c>
      <c r="AZ121" s="81"/>
      <c r="BA121" s="81"/>
      <c r="BB121" s="81">
        <f>43620.74</f>
        <v>43620.74</v>
      </c>
      <c r="BC121" s="81"/>
      <c r="BD121" s="81"/>
      <c r="BE121" s="81"/>
      <c r="BF121" s="81"/>
      <c r="BG121" s="81"/>
      <c r="BH121" s="81"/>
      <c r="BI121" s="81"/>
      <c r="BJ121" s="81"/>
      <c r="BK121" s="82">
        <v>232933.99</v>
      </c>
      <c r="BL121" s="82">
        <v>0</v>
      </c>
      <c r="BM121" s="82">
        <v>0</v>
      </c>
      <c r="BN121" s="81">
        <f>IF(O121-BK121&gt;0,O121-BK121,0)</f>
        <v>0</v>
      </c>
      <c r="BO121" s="75">
        <f>IF(Q121-BM121&gt;0,Q121-BM121,0)</f>
        <v>0</v>
      </c>
      <c r="BP121" s="81">
        <f>IF(BN121+BO121&gt;0,BN121+BO121,0)</f>
        <v>0</v>
      </c>
      <c r="BQ121" s="81">
        <f>IF(U121=0,0,U121)</f>
        <v>0</v>
      </c>
      <c r="BR121" s="81">
        <f>IF(W121=0,0,W121)</f>
        <v>0</v>
      </c>
      <c r="BS121" s="81">
        <f>IF(BQ121+BR121&gt;0,BQ121+BR121,0)</f>
        <v>0</v>
      </c>
      <c r="BT121" s="81">
        <f>IF(V121&gt;0,V121,0)</f>
        <v>0</v>
      </c>
      <c r="BU121" s="81">
        <f>IF(BP121=0,0,BP121)</f>
        <v>0</v>
      </c>
      <c r="BV121" s="81">
        <f>IF(BS121=0,0,BS121)</f>
        <v>0</v>
      </c>
      <c r="BW121" s="81">
        <f>IF(BP121+BT121+BV121&gt;0,BP121+BT121+BV121,0)</f>
        <v>0</v>
      </c>
      <c r="BX121" s="1"/>
      <c r="BY121" s="1"/>
      <c r="BZ121" s="1"/>
      <c r="CA121" s="1"/>
      <c r="CB121" s="1"/>
      <c r="CC121" s="1"/>
      <c r="CD121" s="1"/>
      <c r="CE121" s="1"/>
      <c r="CF121" s="1"/>
      <c r="CG121" s="1"/>
    </row>
    <row r="122" spans="1:85" ht="15.75">
      <c r="A122" s="109"/>
      <c r="B122" s="110"/>
      <c r="C122" s="111"/>
      <c r="D122" s="112" t="s">
        <v>365</v>
      </c>
      <c r="E122" s="58">
        <f t="shared" ref="E122:H122" si="491">SUM(E123:E126)</f>
        <v>0</v>
      </c>
      <c r="F122" s="59">
        <f t="shared" si="491"/>
        <v>0</v>
      </c>
      <c r="G122" s="59">
        <f t="shared" si="491"/>
        <v>0</v>
      </c>
      <c r="H122" s="59">
        <f t="shared" si="491"/>
        <v>0</v>
      </c>
      <c r="I122" s="60">
        <f t="shared" si="45"/>
        <v>0</v>
      </c>
      <c r="J122" s="60">
        <f t="shared" si="46"/>
        <v>0</v>
      </c>
      <c r="K122" s="59">
        <f t="shared" ref="K122:W122" si="492">SUM(K123:K126)</f>
        <v>0</v>
      </c>
      <c r="L122" s="59">
        <f t="shared" si="492"/>
        <v>69490.67</v>
      </c>
      <c r="M122" s="59">
        <f t="shared" si="492"/>
        <v>0</v>
      </c>
      <c r="N122" s="59">
        <f t="shared" si="492"/>
        <v>0</v>
      </c>
      <c r="O122" s="59">
        <f t="shared" si="492"/>
        <v>0</v>
      </c>
      <c r="P122" s="59">
        <f t="shared" si="492"/>
        <v>69490.67</v>
      </c>
      <c r="Q122" s="59">
        <f t="shared" si="492"/>
        <v>0</v>
      </c>
      <c r="R122" s="59">
        <f t="shared" si="492"/>
        <v>0</v>
      </c>
      <c r="S122" s="59">
        <f t="shared" si="492"/>
        <v>69490.67</v>
      </c>
      <c r="T122" s="59">
        <f t="shared" si="492"/>
        <v>0</v>
      </c>
      <c r="U122" s="59">
        <f t="shared" si="492"/>
        <v>0</v>
      </c>
      <c r="V122" s="59">
        <f t="shared" si="492"/>
        <v>0</v>
      </c>
      <c r="W122" s="59">
        <f t="shared" si="492"/>
        <v>0</v>
      </c>
      <c r="X122" s="63">
        <f t="shared" ref="X122:Y122" si="493">IF(O122&gt;0,O122/K122,0)</f>
        <v>0</v>
      </c>
      <c r="Y122" s="63">
        <f t="shared" si="493"/>
        <v>1</v>
      </c>
      <c r="Z122" s="63">
        <f t="shared" si="5"/>
        <v>0</v>
      </c>
      <c r="AA122" s="59">
        <f t="shared" ref="AA122:BW122" si="494">SUM(AA123:AA126)</f>
        <v>0</v>
      </c>
      <c r="AB122" s="59">
        <f t="shared" si="494"/>
        <v>3839.07</v>
      </c>
      <c r="AC122" s="59">
        <f t="shared" si="494"/>
        <v>0</v>
      </c>
      <c r="AD122" s="59">
        <f t="shared" si="494"/>
        <v>0</v>
      </c>
      <c r="AE122" s="59">
        <f t="shared" si="494"/>
        <v>3860</v>
      </c>
      <c r="AF122" s="59">
        <f t="shared" si="494"/>
        <v>0</v>
      </c>
      <c r="AG122" s="59">
        <f t="shared" si="494"/>
        <v>0</v>
      </c>
      <c r="AH122" s="59">
        <f t="shared" si="494"/>
        <v>0</v>
      </c>
      <c r="AI122" s="59">
        <f t="shared" si="494"/>
        <v>0</v>
      </c>
      <c r="AJ122" s="59">
        <f t="shared" si="494"/>
        <v>0</v>
      </c>
      <c r="AK122" s="59">
        <f t="shared" si="494"/>
        <v>61791.6</v>
      </c>
      <c r="AL122" s="59">
        <f t="shared" si="494"/>
        <v>0</v>
      </c>
      <c r="AM122" s="59">
        <f t="shared" si="494"/>
        <v>0</v>
      </c>
      <c r="AN122" s="59">
        <f t="shared" si="494"/>
        <v>0</v>
      </c>
      <c r="AO122" s="59">
        <f t="shared" si="494"/>
        <v>0</v>
      </c>
      <c r="AP122" s="59">
        <f t="shared" si="494"/>
        <v>0</v>
      </c>
      <c r="AQ122" s="59">
        <f t="shared" si="494"/>
        <v>0</v>
      </c>
      <c r="AR122" s="59">
        <f t="shared" si="494"/>
        <v>0</v>
      </c>
      <c r="AS122" s="59">
        <f t="shared" si="494"/>
        <v>0</v>
      </c>
      <c r="AT122" s="59">
        <f t="shared" si="494"/>
        <v>0</v>
      </c>
      <c r="AU122" s="59">
        <f t="shared" si="494"/>
        <v>0</v>
      </c>
      <c r="AV122" s="59">
        <f t="shared" si="494"/>
        <v>0</v>
      </c>
      <c r="AW122" s="59">
        <f t="shared" si="494"/>
        <v>0</v>
      </c>
      <c r="AX122" s="59">
        <f t="shared" si="494"/>
        <v>0</v>
      </c>
      <c r="AY122" s="59">
        <f t="shared" si="494"/>
        <v>0</v>
      </c>
      <c r="AZ122" s="59">
        <f t="shared" si="494"/>
        <v>0</v>
      </c>
      <c r="BA122" s="59">
        <f t="shared" si="494"/>
        <v>0</v>
      </c>
      <c r="BB122" s="59">
        <f t="shared" si="494"/>
        <v>0</v>
      </c>
      <c r="BC122" s="59">
        <f t="shared" si="494"/>
        <v>0</v>
      </c>
      <c r="BD122" s="59">
        <f t="shared" si="494"/>
        <v>0</v>
      </c>
      <c r="BE122" s="59">
        <f t="shared" si="494"/>
        <v>0</v>
      </c>
      <c r="BF122" s="59">
        <f t="shared" si="494"/>
        <v>0</v>
      </c>
      <c r="BG122" s="59">
        <f t="shared" si="494"/>
        <v>0</v>
      </c>
      <c r="BH122" s="59">
        <f t="shared" si="494"/>
        <v>0</v>
      </c>
      <c r="BI122" s="59">
        <f t="shared" si="494"/>
        <v>0</v>
      </c>
      <c r="BJ122" s="59">
        <f t="shared" si="494"/>
        <v>0</v>
      </c>
      <c r="BK122" s="59">
        <f t="shared" si="494"/>
        <v>0</v>
      </c>
      <c r="BL122" s="59">
        <f t="shared" si="494"/>
        <v>69490.67</v>
      </c>
      <c r="BM122" s="59">
        <f t="shared" si="494"/>
        <v>0</v>
      </c>
      <c r="BN122" s="59">
        <f t="shared" si="494"/>
        <v>0</v>
      </c>
      <c r="BO122" s="59">
        <f t="shared" si="494"/>
        <v>0</v>
      </c>
      <c r="BP122" s="59">
        <f t="shared" si="494"/>
        <v>0</v>
      </c>
      <c r="BQ122" s="59">
        <f t="shared" si="494"/>
        <v>0</v>
      </c>
      <c r="BR122" s="59">
        <f t="shared" si="494"/>
        <v>0</v>
      </c>
      <c r="BS122" s="59">
        <f t="shared" si="494"/>
        <v>0</v>
      </c>
      <c r="BT122" s="59">
        <f t="shared" si="494"/>
        <v>0</v>
      </c>
      <c r="BU122" s="59">
        <f t="shared" si="494"/>
        <v>0</v>
      </c>
      <c r="BV122" s="59">
        <f t="shared" si="494"/>
        <v>0</v>
      </c>
      <c r="BW122" s="59">
        <f t="shared" si="494"/>
        <v>0</v>
      </c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</row>
    <row r="123" spans="1:85" ht="15.75" customHeight="1">
      <c r="A123" s="193"/>
      <c r="B123" s="67" t="s">
        <v>366</v>
      </c>
      <c r="C123" s="68" t="s">
        <v>367</v>
      </c>
      <c r="D123" s="69" t="s">
        <v>368</v>
      </c>
      <c r="E123" s="70"/>
      <c r="F123" s="71"/>
      <c r="G123" s="71">
        <f t="shared" ref="G123:G126" si="495">E123-F123</f>
        <v>0</v>
      </c>
      <c r="H123" s="70"/>
      <c r="I123" s="72">
        <f t="shared" si="45"/>
        <v>0</v>
      </c>
      <c r="J123" s="72">
        <f t="shared" si="46"/>
        <v>0</v>
      </c>
      <c r="K123" s="107"/>
      <c r="L123" s="81">
        <v>3860</v>
      </c>
      <c r="M123" s="81"/>
      <c r="N123" s="107"/>
      <c r="O123" s="77">
        <f t="shared" ref="O123:Q123" si="496">AA123+AD123+AG123+AJ123+AM123+AP123+AS123+AV123+AY123+BB123+BE123+BH123</f>
        <v>0</v>
      </c>
      <c r="P123" s="77">
        <f t="shared" si="496"/>
        <v>3860</v>
      </c>
      <c r="Q123" s="77">
        <f t="shared" si="496"/>
        <v>0</v>
      </c>
      <c r="R123" s="77">
        <f t="shared" ref="R123:T123" si="497">IF(BK123=0,SUM(AA123+AD123+AG123+AJ123+AM123+AP123+AS123+AV123+AY123+BB123+BE123+BH123),BK123)</f>
        <v>0</v>
      </c>
      <c r="S123" s="77">
        <f t="shared" si="497"/>
        <v>3860</v>
      </c>
      <c r="T123" s="77">
        <f t="shared" si="497"/>
        <v>0</v>
      </c>
      <c r="U123" s="79">
        <f t="shared" ref="U123:U126" si="498">K123-O123</f>
        <v>0</v>
      </c>
      <c r="V123" s="79">
        <f t="shared" ref="V123:V126" si="499">L123-M123-S123</f>
        <v>0</v>
      </c>
      <c r="W123" s="79">
        <f t="shared" ref="W123:W126" si="500">N123-Q123</f>
        <v>0</v>
      </c>
      <c r="X123" s="80">
        <f t="shared" ref="X123:Y123" si="501">IF(O123&gt;0,O123/K123,0)</f>
        <v>0</v>
      </c>
      <c r="Y123" s="80">
        <f t="shared" si="501"/>
        <v>1</v>
      </c>
      <c r="Z123" s="80">
        <f t="shared" si="5"/>
        <v>0</v>
      </c>
      <c r="AA123" s="81"/>
      <c r="AB123" s="81"/>
      <c r="AC123" s="81"/>
      <c r="AD123" s="81"/>
      <c r="AE123" s="128">
        <v>3860</v>
      </c>
      <c r="AF123" s="83"/>
      <c r="AG123" s="83"/>
      <c r="AH123" s="83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2">
        <v>0</v>
      </c>
      <c r="BL123" s="82">
        <v>3860</v>
      </c>
      <c r="BM123" s="82">
        <v>0</v>
      </c>
      <c r="BN123" s="81">
        <f t="shared" ref="BN123:BN126" si="502">IF(O123-BK123&gt;0,O123-BK123,0)</f>
        <v>0</v>
      </c>
      <c r="BO123" s="75">
        <f t="shared" ref="BO123:BO126" si="503">IF(Q123-BM123&gt;0,Q123-BM123,0)</f>
        <v>0</v>
      </c>
      <c r="BP123" s="81">
        <f t="shared" ref="BP123:BP126" si="504">IF(BN123+BO123&gt;0,BN123+BO123,0)</f>
        <v>0</v>
      </c>
      <c r="BQ123" s="81">
        <f t="shared" ref="BQ123:BQ126" si="505">IF(U123=0,0,U123)</f>
        <v>0</v>
      </c>
      <c r="BR123" s="81">
        <f t="shared" ref="BR123:BR126" si="506">IF(W123=0,0,W123)</f>
        <v>0</v>
      </c>
      <c r="BS123" s="81">
        <f t="shared" ref="BS123:BS126" si="507">IF(BQ123+BR123&gt;0,BQ123+BR123,0)</f>
        <v>0</v>
      </c>
      <c r="BT123" s="81">
        <f t="shared" ref="BT123:BT126" si="508">IF(V123&gt;0,V123,0)</f>
        <v>0</v>
      </c>
      <c r="BU123" s="81">
        <f t="shared" ref="BU123:BU126" si="509">IF(BP123=0,0,BP123)</f>
        <v>0</v>
      </c>
      <c r="BV123" s="81">
        <f t="shared" ref="BV123:BV126" si="510">IF(BS123=0,0,BS123)</f>
        <v>0</v>
      </c>
      <c r="BW123" s="81">
        <f t="shared" ref="BW123:BW126" si="511">IF(BP123+BT123+BV123&gt;0,BP123+BT123+BV123,0)</f>
        <v>0</v>
      </c>
      <c r="BX123" s="1"/>
      <c r="BY123" s="1"/>
      <c r="BZ123" s="1"/>
      <c r="CA123" s="1"/>
      <c r="CB123" s="1"/>
      <c r="CC123" s="1"/>
      <c r="CD123" s="1"/>
      <c r="CE123" s="1"/>
      <c r="CF123" s="1"/>
      <c r="CG123" s="1"/>
    </row>
    <row r="124" spans="1:85" ht="15.75" customHeight="1">
      <c r="A124" s="145"/>
      <c r="B124" s="132" t="s">
        <v>369</v>
      </c>
      <c r="C124" s="86" t="s">
        <v>370</v>
      </c>
      <c r="D124" s="87" t="s">
        <v>371</v>
      </c>
      <c r="E124" s="70"/>
      <c r="F124" s="71"/>
      <c r="G124" s="71">
        <f t="shared" si="495"/>
        <v>0</v>
      </c>
      <c r="H124" s="70"/>
      <c r="I124" s="72">
        <f t="shared" si="45"/>
        <v>0</v>
      </c>
      <c r="J124" s="72">
        <f t="shared" si="46"/>
        <v>0</v>
      </c>
      <c r="K124" s="107"/>
      <c r="L124" s="81">
        <v>3839.07</v>
      </c>
      <c r="M124" s="81"/>
      <c r="N124" s="107"/>
      <c r="O124" s="77">
        <f t="shared" ref="O124:Q124" si="512">AA124+AD124+AG124+AJ124+AM124+AP124+AS124+AV124+AY124+BB124+BE124+BH124</f>
        <v>0</v>
      </c>
      <c r="P124" s="77">
        <f t="shared" si="512"/>
        <v>3839.07</v>
      </c>
      <c r="Q124" s="77">
        <f t="shared" si="512"/>
        <v>0</v>
      </c>
      <c r="R124" s="77">
        <f t="shared" ref="R124:T124" si="513">IF(BK124=0,SUM(AA124+AD124+AG124+AJ124+AM124+AP124+AS124+AV124+AY124+BB124+BE124+BH124),BK124)</f>
        <v>0</v>
      </c>
      <c r="S124" s="77">
        <f t="shared" si="513"/>
        <v>3839.07</v>
      </c>
      <c r="T124" s="77">
        <f t="shared" si="513"/>
        <v>0</v>
      </c>
      <c r="U124" s="79">
        <f t="shared" si="498"/>
        <v>0</v>
      </c>
      <c r="V124" s="79">
        <f t="shared" si="499"/>
        <v>0</v>
      </c>
      <c r="W124" s="79">
        <f t="shared" si="500"/>
        <v>0</v>
      </c>
      <c r="X124" s="80">
        <f t="shared" ref="X124:Y124" si="514">IF(O124&gt;0,O124/K124,0)</f>
        <v>0</v>
      </c>
      <c r="Y124" s="80">
        <f t="shared" si="514"/>
        <v>1</v>
      </c>
      <c r="Z124" s="80">
        <f t="shared" si="5"/>
        <v>0</v>
      </c>
      <c r="AA124" s="81"/>
      <c r="AB124" s="82">
        <v>3839.07</v>
      </c>
      <c r="AC124" s="81"/>
      <c r="AD124" s="81"/>
      <c r="AE124" s="83"/>
      <c r="AF124" s="83"/>
      <c r="AG124" s="83"/>
      <c r="AH124" s="83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2">
        <v>0</v>
      </c>
      <c r="BL124" s="82">
        <v>3839.07</v>
      </c>
      <c r="BM124" s="82">
        <v>0</v>
      </c>
      <c r="BN124" s="81">
        <f t="shared" si="502"/>
        <v>0</v>
      </c>
      <c r="BO124" s="75">
        <f t="shared" si="503"/>
        <v>0</v>
      </c>
      <c r="BP124" s="81">
        <f t="shared" si="504"/>
        <v>0</v>
      </c>
      <c r="BQ124" s="81">
        <f t="shared" si="505"/>
        <v>0</v>
      </c>
      <c r="BR124" s="81">
        <f t="shared" si="506"/>
        <v>0</v>
      </c>
      <c r="BS124" s="81">
        <f t="shared" si="507"/>
        <v>0</v>
      </c>
      <c r="BT124" s="81">
        <f t="shared" si="508"/>
        <v>0</v>
      </c>
      <c r="BU124" s="81">
        <f t="shared" si="509"/>
        <v>0</v>
      </c>
      <c r="BV124" s="81">
        <f t="shared" si="510"/>
        <v>0</v>
      </c>
      <c r="BW124" s="81">
        <f t="shared" si="511"/>
        <v>0</v>
      </c>
      <c r="BX124" s="1"/>
      <c r="BY124" s="1"/>
      <c r="BZ124" s="1"/>
      <c r="CA124" s="1"/>
      <c r="CB124" s="1"/>
      <c r="CC124" s="1"/>
      <c r="CD124" s="1"/>
      <c r="CE124" s="1"/>
      <c r="CF124" s="1"/>
      <c r="CG124" s="1"/>
    </row>
    <row r="125" spans="1:85" ht="15.75" customHeight="1">
      <c r="A125" s="145"/>
      <c r="B125" s="132" t="s">
        <v>372</v>
      </c>
      <c r="C125" s="86" t="s">
        <v>370</v>
      </c>
      <c r="D125" s="87" t="s">
        <v>373</v>
      </c>
      <c r="E125" s="70"/>
      <c r="F125" s="71"/>
      <c r="G125" s="71">
        <f t="shared" si="495"/>
        <v>0</v>
      </c>
      <c r="H125" s="70"/>
      <c r="I125" s="72">
        <f t="shared" si="45"/>
        <v>0</v>
      </c>
      <c r="J125" s="72">
        <f t="shared" si="46"/>
        <v>0</v>
      </c>
      <c r="K125" s="107"/>
      <c r="L125" s="81">
        <v>57397.599999999999</v>
      </c>
      <c r="M125" s="81"/>
      <c r="N125" s="107"/>
      <c r="O125" s="77">
        <f t="shared" ref="O125:Q125" si="515">AA125+AD125+AG125+AJ125+AM125+AP125+AS125+AV125+AY125+BB125+BE125+BH125</f>
        <v>0</v>
      </c>
      <c r="P125" s="77">
        <f t="shared" si="515"/>
        <v>57397.599999999999</v>
      </c>
      <c r="Q125" s="77">
        <f t="shared" si="515"/>
        <v>0</v>
      </c>
      <c r="R125" s="77">
        <f t="shared" ref="R125:T125" si="516">IF(BK125=0,SUM(AA125+AD125+AG125+AJ125+AM125+AP125+AS125+AV125+AY125+BB125+BE125+BH125),BK125)</f>
        <v>0</v>
      </c>
      <c r="S125" s="77">
        <f t="shared" si="516"/>
        <v>57397.599999999999</v>
      </c>
      <c r="T125" s="77">
        <f t="shared" si="516"/>
        <v>0</v>
      </c>
      <c r="U125" s="79">
        <f t="shared" si="498"/>
        <v>0</v>
      </c>
      <c r="V125" s="79">
        <f t="shared" si="499"/>
        <v>0</v>
      </c>
      <c r="W125" s="79">
        <f t="shared" si="500"/>
        <v>0</v>
      </c>
      <c r="X125" s="80">
        <f t="shared" ref="X125:Y125" si="517">IF(O125&gt;0,O125/K125,0)</f>
        <v>0</v>
      </c>
      <c r="Y125" s="80">
        <f t="shared" si="517"/>
        <v>1</v>
      </c>
      <c r="Z125" s="80">
        <f t="shared" si="5"/>
        <v>0</v>
      </c>
      <c r="AA125" s="81"/>
      <c r="AB125" s="81"/>
      <c r="AC125" s="81"/>
      <c r="AD125" s="81"/>
      <c r="AE125" s="83"/>
      <c r="AF125" s="83"/>
      <c r="AG125" s="83"/>
      <c r="AH125" s="83"/>
      <c r="AI125" s="81"/>
      <c r="AJ125" s="81"/>
      <c r="AK125" s="82">
        <v>57397.599999999999</v>
      </c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2">
        <v>0</v>
      </c>
      <c r="BL125" s="82">
        <v>57397.599999999999</v>
      </c>
      <c r="BM125" s="82">
        <v>0</v>
      </c>
      <c r="BN125" s="81">
        <f t="shared" si="502"/>
        <v>0</v>
      </c>
      <c r="BO125" s="75">
        <f t="shared" si="503"/>
        <v>0</v>
      </c>
      <c r="BP125" s="81">
        <f t="shared" si="504"/>
        <v>0</v>
      </c>
      <c r="BQ125" s="81">
        <f t="shared" si="505"/>
        <v>0</v>
      </c>
      <c r="BR125" s="81">
        <f t="shared" si="506"/>
        <v>0</v>
      </c>
      <c r="BS125" s="81">
        <f t="shared" si="507"/>
        <v>0</v>
      </c>
      <c r="BT125" s="81">
        <f t="shared" si="508"/>
        <v>0</v>
      </c>
      <c r="BU125" s="81">
        <f t="shared" si="509"/>
        <v>0</v>
      </c>
      <c r="BV125" s="81">
        <f t="shared" si="510"/>
        <v>0</v>
      </c>
      <c r="BW125" s="81">
        <f t="shared" si="511"/>
        <v>0</v>
      </c>
      <c r="BX125" s="1"/>
      <c r="BY125" s="1"/>
      <c r="BZ125" s="1"/>
      <c r="CA125" s="1"/>
      <c r="CB125" s="1"/>
      <c r="CC125" s="1"/>
      <c r="CD125" s="1"/>
      <c r="CE125" s="1"/>
      <c r="CF125" s="1"/>
      <c r="CG125" s="1"/>
    </row>
    <row r="126" spans="1:85" ht="15.75" customHeight="1">
      <c r="A126" s="194"/>
      <c r="B126" s="142" t="s">
        <v>374</v>
      </c>
      <c r="C126" s="91" t="s">
        <v>370</v>
      </c>
      <c r="D126" s="92" t="s">
        <v>375</v>
      </c>
      <c r="E126" s="70"/>
      <c r="F126" s="71"/>
      <c r="G126" s="71">
        <f t="shared" si="495"/>
        <v>0</v>
      </c>
      <c r="H126" s="70"/>
      <c r="I126" s="72">
        <f t="shared" si="45"/>
        <v>0</v>
      </c>
      <c r="J126" s="72">
        <f t="shared" si="46"/>
        <v>0</v>
      </c>
      <c r="K126" s="107"/>
      <c r="L126" s="81">
        <v>4394</v>
      </c>
      <c r="M126" s="81"/>
      <c r="N126" s="107"/>
      <c r="O126" s="77">
        <f t="shared" ref="O126:Q126" si="518">AA126+AD126+AG126+AJ126+AM126+AP126+AS126+AV126+AY126+BB126+BE126+BH126</f>
        <v>0</v>
      </c>
      <c r="P126" s="77">
        <f t="shared" si="518"/>
        <v>4394</v>
      </c>
      <c r="Q126" s="77">
        <f t="shared" si="518"/>
        <v>0</v>
      </c>
      <c r="R126" s="77">
        <f t="shared" ref="R126:T126" si="519">IF(BK126=0,SUM(AA126+AD126+AG126+AJ126+AM126+AP126+AS126+AV126+AY126+BB126+BE126+BH126),BK126)</f>
        <v>0</v>
      </c>
      <c r="S126" s="77">
        <f t="shared" si="519"/>
        <v>4394</v>
      </c>
      <c r="T126" s="77">
        <f t="shared" si="519"/>
        <v>0</v>
      </c>
      <c r="U126" s="79">
        <f t="shared" si="498"/>
        <v>0</v>
      </c>
      <c r="V126" s="79">
        <f t="shared" si="499"/>
        <v>0</v>
      </c>
      <c r="W126" s="79">
        <f t="shared" si="500"/>
        <v>0</v>
      </c>
      <c r="X126" s="80">
        <f t="shared" ref="X126:Y126" si="520">IF(O126&gt;0,O126/K126,0)</f>
        <v>0</v>
      </c>
      <c r="Y126" s="80">
        <f t="shared" si="520"/>
        <v>1</v>
      </c>
      <c r="Z126" s="80">
        <f t="shared" si="5"/>
        <v>0</v>
      </c>
      <c r="AA126" s="81"/>
      <c r="AB126" s="81"/>
      <c r="AC126" s="81"/>
      <c r="AD126" s="81"/>
      <c r="AE126" s="83"/>
      <c r="AF126" s="83"/>
      <c r="AG126" s="83"/>
      <c r="AH126" s="83"/>
      <c r="AI126" s="81"/>
      <c r="AJ126" s="81"/>
      <c r="AK126" s="82">
        <v>4394</v>
      </c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2">
        <v>0</v>
      </c>
      <c r="BL126" s="82">
        <v>4394</v>
      </c>
      <c r="BM126" s="82">
        <v>0</v>
      </c>
      <c r="BN126" s="81">
        <f t="shared" si="502"/>
        <v>0</v>
      </c>
      <c r="BO126" s="75">
        <f t="shared" si="503"/>
        <v>0</v>
      </c>
      <c r="BP126" s="81">
        <f t="shared" si="504"/>
        <v>0</v>
      </c>
      <c r="BQ126" s="81">
        <f t="shared" si="505"/>
        <v>0</v>
      </c>
      <c r="BR126" s="81">
        <f t="shared" si="506"/>
        <v>0</v>
      </c>
      <c r="BS126" s="81">
        <f t="shared" si="507"/>
        <v>0</v>
      </c>
      <c r="BT126" s="81">
        <f t="shared" si="508"/>
        <v>0</v>
      </c>
      <c r="BU126" s="81">
        <f t="shared" si="509"/>
        <v>0</v>
      </c>
      <c r="BV126" s="81">
        <f t="shared" si="510"/>
        <v>0</v>
      </c>
      <c r="BW126" s="81">
        <f t="shared" si="511"/>
        <v>0</v>
      </c>
      <c r="BX126" s="1"/>
      <c r="BY126" s="1"/>
      <c r="BZ126" s="1"/>
      <c r="CA126" s="1"/>
      <c r="CB126" s="1"/>
      <c r="CC126" s="1"/>
      <c r="CD126" s="1"/>
      <c r="CE126" s="1"/>
      <c r="CF126" s="1"/>
      <c r="CG126" s="1"/>
    </row>
    <row r="127" spans="1:85" ht="15.75" customHeight="1">
      <c r="A127" s="100"/>
      <c r="B127" s="101"/>
      <c r="C127" s="102"/>
      <c r="D127" s="195" t="s">
        <v>376</v>
      </c>
      <c r="E127" s="104">
        <f t="shared" ref="E127:H127" si="521">E128+E132+E137+E148+E150</f>
        <v>0</v>
      </c>
      <c r="F127" s="104">
        <f t="shared" si="521"/>
        <v>0</v>
      </c>
      <c r="G127" s="104">
        <f t="shared" si="521"/>
        <v>0</v>
      </c>
      <c r="H127" s="104">
        <f t="shared" si="521"/>
        <v>6710000</v>
      </c>
      <c r="I127" s="105">
        <f t="shared" si="45"/>
        <v>0</v>
      </c>
      <c r="J127" s="105">
        <f t="shared" si="46"/>
        <v>0</v>
      </c>
      <c r="K127" s="104">
        <f t="shared" ref="K127:W127" si="522">K128+K132+K137+K148+K150</f>
        <v>0</v>
      </c>
      <c r="L127" s="104">
        <f t="shared" si="522"/>
        <v>0</v>
      </c>
      <c r="M127" s="104">
        <f t="shared" si="522"/>
        <v>0</v>
      </c>
      <c r="N127" s="104">
        <f t="shared" si="522"/>
        <v>250958.1</v>
      </c>
      <c r="O127" s="104">
        <f t="shared" si="522"/>
        <v>0</v>
      </c>
      <c r="P127" s="104">
        <f t="shared" si="522"/>
        <v>0</v>
      </c>
      <c r="Q127" s="104">
        <f t="shared" si="522"/>
        <v>132170.1</v>
      </c>
      <c r="R127" s="104">
        <f t="shared" si="522"/>
        <v>0</v>
      </c>
      <c r="S127" s="104">
        <f t="shared" si="522"/>
        <v>0</v>
      </c>
      <c r="T127" s="104">
        <f t="shared" si="522"/>
        <v>116652.64</v>
      </c>
      <c r="U127" s="104">
        <f t="shared" si="522"/>
        <v>0</v>
      </c>
      <c r="V127" s="104">
        <f t="shared" si="522"/>
        <v>0</v>
      </c>
      <c r="W127" s="104">
        <f t="shared" si="522"/>
        <v>118788</v>
      </c>
      <c r="X127" s="106">
        <f t="shared" ref="X127:Y127" si="523">IF(O127&gt;0,O127/K127,0)</f>
        <v>0</v>
      </c>
      <c r="Y127" s="106">
        <f t="shared" si="523"/>
        <v>0</v>
      </c>
      <c r="Z127" s="106">
        <f t="shared" si="5"/>
        <v>0.52666202047274024</v>
      </c>
      <c r="AA127" s="104">
        <f t="shared" ref="AA127:BW127" si="524">AA128+AA132+AA137+AA148+AA150</f>
        <v>0</v>
      </c>
      <c r="AB127" s="104">
        <f t="shared" si="524"/>
        <v>0</v>
      </c>
      <c r="AC127" s="104">
        <f t="shared" si="524"/>
        <v>0</v>
      </c>
      <c r="AD127" s="104">
        <f t="shared" si="524"/>
        <v>0</v>
      </c>
      <c r="AE127" s="104">
        <f t="shared" si="524"/>
        <v>0</v>
      </c>
      <c r="AF127" s="104">
        <f t="shared" si="524"/>
        <v>0</v>
      </c>
      <c r="AG127" s="104">
        <f t="shared" si="524"/>
        <v>0</v>
      </c>
      <c r="AH127" s="104">
        <f t="shared" si="524"/>
        <v>0</v>
      </c>
      <c r="AI127" s="104">
        <f t="shared" si="524"/>
        <v>0</v>
      </c>
      <c r="AJ127" s="104">
        <f t="shared" si="524"/>
        <v>0</v>
      </c>
      <c r="AK127" s="104">
        <f t="shared" si="524"/>
        <v>0</v>
      </c>
      <c r="AL127" s="104">
        <f t="shared" si="524"/>
        <v>0</v>
      </c>
      <c r="AM127" s="104">
        <f t="shared" si="524"/>
        <v>0</v>
      </c>
      <c r="AN127" s="104">
        <f t="shared" si="524"/>
        <v>0</v>
      </c>
      <c r="AO127" s="104">
        <f t="shared" si="524"/>
        <v>0</v>
      </c>
      <c r="AP127" s="104">
        <f t="shared" si="524"/>
        <v>0</v>
      </c>
      <c r="AQ127" s="104">
        <f t="shared" si="524"/>
        <v>0</v>
      </c>
      <c r="AR127" s="104">
        <f t="shared" si="524"/>
        <v>0</v>
      </c>
      <c r="AS127" s="104">
        <f t="shared" si="524"/>
        <v>0</v>
      </c>
      <c r="AT127" s="104">
        <f t="shared" si="524"/>
        <v>0</v>
      </c>
      <c r="AU127" s="104">
        <f t="shared" si="524"/>
        <v>0</v>
      </c>
      <c r="AV127" s="104">
        <f t="shared" si="524"/>
        <v>0</v>
      </c>
      <c r="AW127" s="104">
        <f t="shared" si="524"/>
        <v>0</v>
      </c>
      <c r="AX127" s="104">
        <f t="shared" si="524"/>
        <v>0</v>
      </c>
      <c r="AY127" s="104">
        <f t="shared" si="524"/>
        <v>0</v>
      </c>
      <c r="AZ127" s="104">
        <f t="shared" si="524"/>
        <v>0</v>
      </c>
      <c r="BA127" s="104">
        <f t="shared" si="524"/>
        <v>0</v>
      </c>
      <c r="BB127" s="104">
        <f t="shared" si="524"/>
        <v>0</v>
      </c>
      <c r="BC127" s="104">
        <f t="shared" si="524"/>
        <v>0</v>
      </c>
      <c r="BD127" s="104">
        <f t="shared" si="524"/>
        <v>0</v>
      </c>
      <c r="BE127" s="104">
        <f t="shared" si="524"/>
        <v>0</v>
      </c>
      <c r="BF127" s="104">
        <f t="shared" si="524"/>
        <v>0</v>
      </c>
      <c r="BG127" s="104">
        <f t="shared" si="524"/>
        <v>50272.959999999999</v>
      </c>
      <c r="BH127" s="104">
        <f t="shared" si="524"/>
        <v>0</v>
      </c>
      <c r="BI127" s="104">
        <f t="shared" si="524"/>
        <v>0</v>
      </c>
      <c r="BJ127" s="104">
        <f t="shared" si="524"/>
        <v>81897.14</v>
      </c>
      <c r="BK127" s="104">
        <f t="shared" si="524"/>
        <v>0</v>
      </c>
      <c r="BL127" s="104">
        <f t="shared" si="524"/>
        <v>0</v>
      </c>
      <c r="BM127" s="104">
        <f t="shared" si="524"/>
        <v>116652.64</v>
      </c>
      <c r="BN127" s="104">
        <f t="shared" si="524"/>
        <v>0</v>
      </c>
      <c r="BO127" s="104">
        <f t="shared" si="524"/>
        <v>15517.46</v>
      </c>
      <c r="BP127" s="104">
        <f t="shared" si="524"/>
        <v>15517.46</v>
      </c>
      <c r="BQ127" s="104">
        <f t="shared" si="524"/>
        <v>0</v>
      </c>
      <c r="BR127" s="104">
        <f t="shared" si="524"/>
        <v>118788</v>
      </c>
      <c r="BS127" s="104">
        <f t="shared" si="524"/>
        <v>118788</v>
      </c>
      <c r="BT127" s="104">
        <f t="shared" si="524"/>
        <v>0</v>
      </c>
      <c r="BU127" s="104">
        <f t="shared" si="524"/>
        <v>15517.46</v>
      </c>
      <c r="BV127" s="104">
        <f t="shared" si="524"/>
        <v>118788</v>
      </c>
      <c r="BW127" s="104">
        <f t="shared" si="524"/>
        <v>134305.46000000002</v>
      </c>
      <c r="BX127" s="1"/>
      <c r="BY127" s="1"/>
      <c r="BZ127" s="1"/>
      <c r="CA127" s="1"/>
      <c r="CB127" s="1"/>
      <c r="CC127" s="1"/>
      <c r="CD127" s="1"/>
      <c r="CE127" s="1"/>
      <c r="CF127" s="1"/>
      <c r="CG127" s="1"/>
    </row>
    <row r="128" spans="1:85" ht="15.75">
      <c r="A128" s="109"/>
      <c r="B128" s="110"/>
      <c r="C128" s="111"/>
      <c r="D128" s="112" t="s">
        <v>224</v>
      </c>
      <c r="E128" s="58">
        <f t="shared" ref="E128:H128" si="525">SUM(E129:E131)</f>
        <v>0</v>
      </c>
      <c r="F128" s="59">
        <f t="shared" si="525"/>
        <v>0</v>
      </c>
      <c r="G128" s="59">
        <f t="shared" si="525"/>
        <v>0</v>
      </c>
      <c r="H128" s="59">
        <f t="shared" si="525"/>
        <v>300000</v>
      </c>
      <c r="I128" s="60">
        <f t="shared" si="45"/>
        <v>0</v>
      </c>
      <c r="J128" s="60">
        <f t="shared" si="46"/>
        <v>0</v>
      </c>
      <c r="K128" s="59">
        <f t="shared" ref="K128:W128" si="526">SUM(K129:K131)</f>
        <v>0</v>
      </c>
      <c r="L128" s="59">
        <f t="shared" si="526"/>
        <v>0</v>
      </c>
      <c r="M128" s="59">
        <f t="shared" si="526"/>
        <v>0</v>
      </c>
      <c r="N128" s="59">
        <f t="shared" si="526"/>
        <v>0</v>
      </c>
      <c r="O128" s="59">
        <f t="shared" si="526"/>
        <v>0</v>
      </c>
      <c r="P128" s="59">
        <f t="shared" si="526"/>
        <v>0</v>
      </c>
      <c r="Q128" s="59">
        <f t="shared" si="526"/>
        <v>0</v>
      </c>
      <c r="R128" s="59">
        <f t="shared" si="526"/>
        <v>0</v>
      </c>
      <c r="S128" s="59">
        <f t="shared" si="526"/>
        <v>0</v>
      </c>
      <c r="T128" s="59">
        <f t="shared" si="526"/>
        <v>0</v>
      </c>
      <c r="U128" s="59">
        <f t="shared" si="526"/>
        <v>0</v>
      </c>
      <c r="V128" s="59">
        <f t="shared" si="526"/>
        <v>0</v>
      </c>
      <c r="W128" s="59">
        <f t="shared" si="526"/>
        <v>0</v>
      </c>
      <c r="X128" s="63">
        <f t="shared" ref="X128:Y128" si="527">IF(O128&gt;0,O128/K128,0)</f>
        <v>0</v>
      </c>
      <c r="Y128" s="63">
        <f t="shared" si="527"/>
        <v>0</v>
      </c>
      <c r="Z128" s="63">
        <f t="shared" si="5"/>
        <v>0</v>
      </c>
      <c r="AA128" s="59">
        <f t="shared" ref="AA128:BW128" si="528">SUM(AA129:AA131)</f>
        <v>0</v>
      </c>
      <c r="AB128" s="59">
        <f t="shared" si="528"/>
        <v>0</v>
      </c>
      <c r="AC128" s="59">
        <f t="shared" si="528"/>
        <v>0</v>
      </c>
      <c r="AD128" s="59">
        <f t="shared" si="528"/>
        <v>0</v>
      </c>
      <c r="AE128" s="59">
        <f t="shared" si="528"/>
        <v>0</v>
      </c>
      <c r="AF128" s="59">
        <f t="shared" si="528"/>
        <v>0</v>
      </c>
      <c r="AG128" s="59">
        <f t="shared" si="528"/>
        <v>0</v>
      </c>
      <c r="AH128" s="59">
        <f t="shared" si="528"/>
        <v>0</v>
      </c>
      <c r="AI128" s="59">
        <f t="shared" si="528"/>
        <v>0</v>
      </c>
      <c r="AJ128" s="59">
        <f t="shared" si="528"/>
        <v>0</v>
      </c>
      <c r="AK128" s="59">
        <f t="shared" si="528"/>
        <v>0</v>
      </c>
      <c r="AL128" s="59">
        <f t="shared" si="528"/>
        <v>0</v>
      </c>
      <c r="AM128" s="59">
        <f t="shared" si="528"/>
        <v>0</v>
      </c>
      <c r="AN128" s="59">
        <f t="shared" si="528"/>
        <v>0</v>
      </c>
      <c r="AO128" s="59">
        <f t="shared" si="528"/>
        <v>0</v>
      </c>
      <c r="AP128" s="59">
        <f t="shared" si="528"/>
        <v>0</v>
      </c>
      <c r="AQ128" s="59">
        <f t="shared" si="528"/>
        <v>0</v>
      </c>
      <c r="AR128" s="59">
        <f t="shared" si="528"/>
        <v>0</v>
      </c>
      <c r="AS128" s="59">
        <f t="shared" si="528"/>
        <v>0</v>
      </c>
      <c r="AT128" s="59">
        <f t="shared" si="528"/>
        <v>0</v>
      </c>
      <c r="AU128" s="59">
        <f t="shared" si="528"/>
        <v>0</v>
      </c>
      <c r="AV128" s="59">
        <f t="shared" si="528"/>
        <v>0</v>
      </c>
      <c r="AW128" s="59">
        <f t="shared" si="528"/>
        <v>0</v>
      </c>
      <c r="AX128" s="59">
        <f t="shared" si="528"/>
        <v>0</v>
      </c>
      <c r="AY128" s="59">
        <f t="shared" si="528"/>
        <v>0</v>
      </c>
      <c r="AZ128" s="59">
        <f t="shared" si="528"/>
        <v>0</v>
      </c>
      <c r="BA128" s="59">
        <f t="shared" si="528"/>
        <v>0</v>
      </c>
      <c r="BB128" s="59">
        <f t="shared" si="528"/>
        <v>0</v>
      </c>
      <c r="BC128" s="59">
        <f t="shared" si="528"/>
        <v>0</v>
      </c>
      <c r="BD128" s="59">
        <f t="shared" si="528"/>
        <v>0</v>
      </c>
      <c r="BE128" s="59">
        <f t="shared" si="528"/>
        <v>0</v>
      </c>
      <c r="BF128" s="59">
        <f t="shared" si="528"/>
        <v>0</v>
      </c>
      <c r="BG128" s="59">
        <f t="shared" si="528"/>
        <v>0</v>
      </c>
      <c r="BH128" s="59">
        <f t="shared" si="528"/>
        <v>0</v>
      </c>
      <c r="BI128" s="59">
        <f t="shared" si="528"/>
        <v>0</v>
      </c>
      <c r="BJ128" s="59">
        <f t="shared" si="528"/>
        <v>0</v>
      </c>
      <c r="BK128" s="59">
        <f t="shared" si="528"/>
        <v>0</v>
      </c>
      <c r="BL128" s="59">
        <f t="shared" si="528"/>
        <v>0</v>
      </c>
      <c r="BM128" s="59">
        <f t="shared" si="528"/>
        <v>0</v>
      </c>
      <c r="BN128" s="59">
        <f t="shared" si="528"/>
        <v>0</v>
      </c>
      <c r="BO128" s="59">
        <f t="shared" si="528"/>
        <v>0</v>
      </c>
      <c r="BP128" s="59">
        <f t="shared" si="528"/>
        <v>0</v>
      </c>
      <c r="BQ128" s="59">
        <f t="shared" si="528"/>
        <v>0</v>
      </c>
      <c r="BR128" s="59">
        <f t="shared" si="528"/>
        <v>0</v>
      </c>
      <c r="BS128" s="59">
        <f t="shared" si="528"/>
        <v>0</v>
      </c>
      <c r="BT128" s="59">
        <f t="shared" si="528"/>
        <v>0</v>
      </c>
      <c r="BU128" s="59">
        <f t="shared" si="528"/>
        <v>0</v>
      </c>
      <c r="BV128" s="59">
        <f t="shared" si="528"/>
        <v>0</v>
      </c>
      <c r="BW128" s="59">
        <f t="shared" si="528"/>
        <v>0</v>
      </c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</row>
    <row r="129" spans="1:85" ht="15.75" customHeight="1">
      <c r="A129" s="89"/>
      <c r="B129" s="115"/>
      <c r="C129" s="86" t="s">
        <v>228</v>
      </c>
      <c r="D129" s="126" t="s">
        <v>377</v>
      </c>
      <c r="E129" s="70"/>
      <c r="F129" s="131"/>
      <c r="G129" s="71">
        <f t="shared" ref="G129:G131" si="529">E129-F129</f>
        <v>0</v>
      </c>
      <c r="H129" s="196">
        <v>100000</v>
      </c>
      <c r="I129" s="72">
        <f t="shared" si="45"/>
        <v>0</v>
      </c>
      <c r="J129" s="72">
        <f t="shared" si="46"/>
        <v>0</v>
      </c>
      <c r="K129" s="73"/>
      <c r="L129" s="81"/>
      <c r="M129" s="81"/>
      <c r="N129" s="88"/>
      <c r="O129" s="77">
        <f t="shared" ref="O129:Q129" si="530">AA129+AD129+AG129+AJ129+AM129+AP129+AS129+AV129+AY129+BB129+BE129+BH129</f>
        <v>0</v>
      </c>
      <c r="P129" s="77">
        <f t="shared" si="530"/>
        <v>0</v>
      </c>
      <c r="Q129" s="77">
        <f t="shared" si="530"/>
        <v>0</v>
      </c>
      <c r="R129" s="77">
        <f t="shared" ref="R129:T129" si="531">IF(BK129=0,SUM(AA129+AD129+AG129+AJ129+AM129+AP129+AS129+AV129+AY129+BB129+BE129+BH129),BK129)</f>
        <v>0</v>
      </c>
      <c r="S129" s="77">
        <f t="shared" si="531"/>
        <v>0</v>
      </c>
      <c r="T129" s="77">
        <f t="shared" si="531"/>
        <v>0</v>
      </c>
      <c r="U129" s="78">
        <f t="shared" ref="U129:U131" si="532">K129-O129</f>
        <v>0</v>
      </c>
      <c r="V129" s="79">
        <f t="shared" ref="V129:V131" si="533">L129-M129-S129</f>
        <v>0</v>
      </c>
      <c r="W129" s="79">
        <f t="shared" ref="W129:W131" si="534">N129-Q129</f>
        <v>0</v>
      </c>
      <c r="X129" s="80">
        <f t="shared" ref="X129:Y129" si="535">IF(O129&gt;0,O129/K129,0)</f>
        <v>0</v>
      </c>
      <c r="Y129" s="80">
        <f t="shared" si="535"/>
        <v>0</v>
      </c>
      <c r="Z129" s="80">
        <f t="shared" si="5"/>
        <v>0</v>
      </c>
      <c r="AA129" s="81"/>
      <c r="AB129" s="81"/>
      <c r="AC129" s="81"/>
      <c r="AD129" s="81"/>
      <c r="AE129" s="83"/>
      <c r="AF129" s="83"/>
      <c r="AG129" s="83"/>
      <c r="AH129" s="83"/>
      <c r="AI129" s="81"/>
      <c r="AJ129" s="81"/>
      <c r="AK129" s="81"/>
      <c r="AL129" s="81"/>
      <c r="AM129" s="81"/>
      <c r="AN129" s="81"/>
      <c r="AO129" s="81"/>
      <c r="AP129" s="82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2">
        <v>0</v>
      </c>
      <c r="BL129" s="82">
        <v>0</v>
      </c>
      <c r="BM129" s="82">
        <v>0</v>
      </c>
      <c r="BN129" s="81">
        <f t="shared" ref="BN129:BN131" si="536">IF(O129-BK129&gt;0,O129-BK129,0)</f>
        <v>0</v>
      </c>
      <c r="BO129" s="75">
        <f t="shared" ref="BO129:BO131" si="537">IF(Q129-BM129&gt;0,Q129-BM129,0)</f>
        <v>0</v>
      </c>
      <c r="BP129" s="81">
        <f t="shared" ref="BP129:BP131" si="538">IF(BN129+BO129&gt;0,BN129+BO129,0)</f>
        <v>0</v>
      </c>
      <c r="BQ129" s="81">
        <f t="shared" ref="BQ129:BQ131" si="539">IF(U129=0,0,U129)</f>
        <v>0</v>
      </c>
      <c r="BR129" s="81">
        <f t="shared" ref="BR129:BR131" si="540">IF(W129=0,0,W129)</f>
        <v>0</v>
      </c>
      <c r="BS129" s="81">
        <f t="shared" ref="BS129:BS131" si="541">IF(BQ129+BR129&gt;0,BQ129+BR129,0)</f>
        <v>0</v>
      </c>
      <c r="BT129" s="81">
        <f t="shared" ref="BT129:BT131" si="542">IF(V129&gt;0,V129,0)</f>
        <v>0</v>
      </c>
      <c r="BU129" s="81">
        <f t="shared" ref="BU129:BU131" si="543">IF(BP129=0,0,BP129)</f>
        <v>0</v>
      </c>
      <c r="BV129" s="81">
        <f t="shared" ref="BV129:BV131" si="544">IF(BS129=0,0,BS129)</f>
        <v>0</v>
      </c>
      <c r="BW129" s="81">
        <f t="shared" ref="BW129:BW131" si="545">IF(BP129+BT129+BV129&gt;0,BP129+BT129+BV129,0)</f>
        <v>0</v>
      </c>
      <c r="BX129" s="1"/>
      <c r="BY129" s="1"/>
      <c r="BZ129" s="1"/>
      <c r="CA129" s="1"/>
      <c r="CB129" s="1"/>
      <c r="CC129" s="1"/>
      <c r="CD129" s="1"/>
      <c r="CE129" s="1"/>
      <c r="CF129" s="1"/>
      <c r="CG129" s="1"/>
    </row>
    <row r="130" spans="1:85" ht="15.75" customHeight="1">
      <c r="A130" s="134"/>
      <c r="B130" s="132"/>
      <c r="C130" s="86" t="s">
        <v>234</v>
      </c>
      <c r="D130" s="135" t="s">
        <v>378</v>
      </c>
      <c r="E130" s="70"/>
      <c r="F130" s="71"/>
      <c r="G130" s="71">
        <f t="shared" si="529"/>
        <v>0</v>
      </c>
      <c r="H130" s="196">
        <v>100000</v>
      </c>
      <c r="I130" s="72">
        <f t="shared" si="45"/>
        <v>0</v>
      </c>
      <c r="J130" s="72">
        <f t="shared" si="46"/>
        <v>0</v>
      </c>
      <c r="K130" s="73"/>
      <c r="L130" s="81"/>
      <c r="M130" s="81"/>
      <c r="N130" s="88"/>
      <c r="O130" s="77">
        <f t="shared" ref="O130:Q130" si="546">AA130+AD130+AG130+AJ130+AM130+AP130+AS130+AV130+AY130+BB130+BE130+BH130</f>
        <v>0</v>
      </c>
      <c r="P130" s="77">
        <f t="shared" si="546"/>
        <v>0</v>
      </c>
      <c r="Q130" s="77">
        <f t="shared" si="546"/>
        <v>0</v>
      </c>
      <c r="R130" s="77">
        <f t="shared" ref="R130:T130" si="547">IF(BK130=0,SUM(AA130+AD130+AG130+AJ130+AM130+AP130+AS130+AV130+AY130+BB130+BE130+BH130),BK130)</f>
        <v>0</v>
      </c>
      <c r="S130" s="77">
        <f t="shared" si="547"/>
        <v>0</v>
      </c>
      <c r="T130" s="77">
        <f t="shared" si="547"/>
        <v>0</v>
      </c>
      <c r="U130" s="78">
        <f t="shared" si="532"/>
        <v>0</v>
      </c>
      <c r="V130" s="79">
        <f t="shared" si="533"/>
        <v>0</v>
      </c>
      <c r="W130" s="79">
        <f t="shared" si="534"/>
        <v>0</v>
      </c>
      <c r="X130" s="80">
        <f t="shared" ref="X130:Y130" si="548">IF(O130&gt;0,O130/K130,0)</f>
        <v>0</v>
      </c>
      <c r="Y130" s="80">
        <f t="shared" si="548"/>
        <v>0</v>
      </c>
      <c r="Z130" s="80">
        <f t="shared" si="5"/>
        <v>0</v>
      </c>
      <c r="AA130" s="82"/>
      <c r="AB130" s="82"/>
      <c r="AC130" s="81"/>
      <c r="AD130" s="81"/>
      <c r="AE130" s="83"/>
      <c r="AF130" s="83"/>
      <c r="AG130" s="128"/>
      <c r="AH130" s="83"/>
      <c r="AI130" s="81"/>
      <c r="AJ130" s="82"/>
      <c r="AK130" s="81"/>
      <c r="AL130" s="81"/>
      <c r="AM130" s="82"/>
      <c r="AN130" s="81"/>
      <c r="AO130" s="81"/>
      <c r="AP130" s="82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2">
        <v>0</v>
      </c>
      <c r="BL130" s="82">
        <v>0</v>
      </c>
      <c r="BM130" s="82">
        <v>0</v>
      </c>
      <c r="BN130" s="81">
        <f t="shared" si="536"/>
        <v>0</v>
      </c>
      <c r="BO130" s="75">
        <f t="shared" si="537"/>
        <v>0</v>
      </c>
      <c r="BP130" s="81">
        <f t="shared" si="538"/>
        <v>0</v>
      </c>
      <c r="BQ130" s="81">
        <f t="shared" si="539"/>
        <v>0</v>
      </c>
      <c r="BR130" s="81">
        <f t="shared" si="540"/>
        <v>0</v>
      </c>
      <c r="BS130" s="81">
        <f t="shared" si="541"/>
        <v>0</v>
      </c>
      <c r="BT130" s="81">
        <f t="shared" si="542"/>
        <v>0</v>
      </c>
      <c r="BU130" s="81">
        <f t="shared" si="543"/>
        <v>0</v>
      </c>
      <c r="BV130" s="81">
        <f t="shared" si="544"/>
        <v>0</v>
      </c>
      <c r="BW130" s="81">
        <f t="shared" si="545"/>
        <v>0</v>
      </c>
      <c r="BX130" s="1"/>
      <c r="BY130" s="1"/>
      <c r="BZ130" s="1"/>
      <c r="CA130" s="1"/>
      <c r="CB130" s="1"/>
      <c r="CC130" s="1"/>
      <c r="CD130" s="1"/>
      <c r="CE130" s="1"/>
      <c r="CF130" s="1"/>
      <c r="CG130" s="1"/>
    </row>
    <row r="131" spans="1:85" ht="15.75" customHeight="1">
      <c r="A131" s="140"/>
      <c r="B131" s="142"/>
      <c r="C131" s="91" t="s">
        <v>246</v>
      </c>
      <c r="D131" s="143" t="s">
        <v>379</v>
      </c>
      <c r="E131" s="70"/>
      <c r="F131" s="71"/>
      <c r="G131" s="71">
        <f t="shared" si="529"/>
        <v>0</v>
      </c>
      <c r="H131" s="196">
        <v>100000</v>
      </c>
      <c r="I131" s="72">
        <f t="shared" si="45"/>
        <v>0</v>
      </c>
      <c r="J131" s="72">
        <f t="shared" si="46"/>
        <v>0</v>
      </c>
      <c r="K131" s="73"/>
      <c r="L131" s="81"/>
      <c r="M131" s="81"/>
      <c r="N131" s="88"/>
      <c r="O131" s="77">
        <f t="shared" ref="O131:Q131" si="549">AA131+AD131+AG131+AJ131+AM131+AP131+AS131+AV131+AY131+BB131+BE131+BH131</f>
        <v>0</v>
      </c>
      <c r="P131" s="77">
        <f t="shared" si="549"/>
        <v>0</v>
      </c>
      <c r="Q131" s="77">
        <f t="shared" si="549"/>
        <v>0</v>
      </c>
      <c r="R131" s="77">
        <f t="shared" ref="R131:T131" si="550">IF(BK131=0,SUM(AA131+AD131+AG131+AJ131+AM131+AP131+AS131+AV131+AY131+BB131+BE131+BH131),BK131)</f>
        <v>0</v>
      </c>
      <c r="S131" s="77">
        <f t="shared" si="550"/>
        <v>0</v>
      </c>
      <c r="T131" s="77">
        <f t="shared" si="550"/>
        <v>0</v>
      </c>
      <c r="U131" s="78">
        <f t="shared" si="532"/>
        <v>0</v>
      </c>
      <c r="V131" s="79">
        <f t="shared" si="533"/>
        <v>0</v>
      </c>
      <c r="W131" s="79">
        <f t="shared" si="534"/>
        <v>0</v>
      </c>
      <c r="X131" s="80">
        <f t="shared" ref="X131:Y131" si="551">IF(O131&gt;0,O131/K131,0)</f>
        <v>0</v>
      </c>
      <c r="Y131" s="80">
        <f t="shared" si="551"/>
        <v>0</v>
      </c>
      <c r="Z131" s="80">
        <f t="shared" si="5"/>
        <v>0</v>
      </c>
      <c r="AA131" s="81"/>
      <c r="AB131" s="82"/>
      <c r="AC131" s="81"/>
      <c r="AD131" s="81"/>
      <c r="AE131" s="128"/>
      <c r="AF131" s="83"/>
      <c r="AG131" s="83"/>
      <c r="AH131" s="83"/>
      <c r="AI131" s="81"/>
      <c r="AJ131" s="81"/>
      <c r="AK131" s="81"/>
      <c r="AL131" s="81"/>
      <c r="AM131" s="82"/>
      <c r="AN131" s="81"/>
      <c r="AO131" s="81"/>
      <c r="AP131" s="81"/>
      <c r="AQ131" s="81"/>
      <c r="AR131" s="81"/>
      <c r="AS131" s="82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2">
        <v>0</v>
      </c>
      <c r="BL131" s="82">
        <v>0</v>
      </c>
      <c r="BM131" s="82">
        <v>0</v>
      </c>
      <c r="BN131" s="81">
        <f t="shared" si="536"/>
        <v>0</v>
      </c>
      <c r="BO131" s="75">
        <f t="shared" si="537"/>
        <v>0</v>
      </c>
      <c r="BP131" s="81">
        <f t="shared" si="538"/>
        <v>0</v>
      </c>
      <c r="BQ131" s="81">
        <f t="shared" si="539"/>
        <v>0</v>
      </c>
      <c r="BR131" s="81">
        <f t="shared" si="540"/>
        <v>0</v>
      </c>
      <c r="BS131" s="81">
        <f t="shared" si="541"/>
        <v>0</v>
      </c>
      <c r="BT131" s="81">
        <f t="shared" si="542"/>
        <v>0</v>
      </c>
      <c r="BU131" s="81">
        <f t="shared" si="543"/>
        <v>0</v>
      </c>
      <c r="BV131" s="81">
        <f t="shared" si="544"/>
        <v>0</v>
      </c>
      <c r="BW131" s="81">
        <f t="shared" si="545"/>
        <v>0</v>
      </c>
      <c r="BX131" s="1"/>
      <c r="BY131" s="1"/>
      <c r="BZ131" s="1"/>
      <c r="CA131" s="1"/>
      <c r="CB131" s="1"/>
      <c r="CC131" s="1"/>
      <c r="CD131" s="1"/>
      <c r="CE131" s="1"/>
      <c r="CF131" s="1"/>
      <c r="CG131" s="1"/>
    </row>
    <row r="132" spans="1:85" ht="15.75">
      <c r="A132" s="109"/>
      <c r="B132" s="110"/>
      <c r="C132" s="111"/>
      <c r="D132" s="112" t="s">
        <v>251</v>
      </c>
      <c r="E132" s="58">
        <f t="shared" ref="E132:H132" si="552">SUM(E133:E136)</f>
        <v>0</v>
      </c>
      <c r="F132" s="58">
        <f t="shared" si="552"/>
        <v>0</v>
      </c>
      <c r="G132" s="58">
        <f t="shared" si="552"/>
        <v>0</v>
      </c>
      <c r="H132" s="58">
        <f t="shared" si="552"/>
        <v>580000</v>
      </c>
      <c r="I132" s="60">
        <f t="shared" si="45"/>
        <v>0</v>
      </c>
      <c r="J132" s="60">
        <f t="shared" si="46"/>
        <v>0</v>
      </c>
      <c r="K132" s="58">
        <f t="shared" ref="K132:W132" si="553">SUM(K133:K136)</f>
        <v>0</v>
      </c>
      <c r="L132" s="58">
        <f t="shared" si="553"/>
        <v>0</v>
      </c>
      <c r="M132" s="58">
        <f t="shared" si="553"/>
        <v>0</v>
      </c>
      <c r="N132" s="58">
        <f t="shared" si="553"/>
        <v>0</v>
      </c>
      <c r="O132" s="58">
        <f t="shared" si="553"/>
        <v>0</v>
      </c>
      <c r="P132" s="58">
        <f t="shared" si="553"/>
        <v>0</v>
      </c>
      <c r="Q132" s="58">
        <f t="shared" si="553"/>
        <v>0</v>
      </c>
      <c r="R132" s="58">
        <f t="shared" si="553"/>
        <v>0</v>
      </c>
      <c r="S132" s="58">
        <f t="shared" si="553"/>
        <v>0</v>
      </c>
      <c r="T132" s="58">
        <f t="shared" si="553"/>
        <v>0</v>
      </c>
      <c r="U132" s="58">
        <f t="shared" si="553"/>
        <v>0</v>
      </c>
      <c r="V132" s="58">
        <f t="shared" si="553"/>
        <v>0</v>
      </c>
      <c r="W132" s="58">
        <f t="shared" si="553"/>
        <v>0</v>
      </c>
      <c r="X132" s="63">
        <f t="shared" ref="X132:Y132" si="554">IF(O132&gt;0,O132/K132,0)</f>
        <v>0</v>
      </c>
      <c r="Y132" s="63">
        <f t="shared" si="554"/>
        <v>0</v>
      </c>
      <c r="Z132" s="63">
        <f t="shared" si="5"/>
        <v>0</v>
      </c>
      <c r="AA132" s="58">
        <f t="shared" ref="AA132:BW132" si="555">SUM(AA133:AA136)</f>
        <v>0</v>
      </c>
      <c r="AB132" s="58">
        <f t="shared" si="555"/>
        <v>0</v>
      </c>
      <c r="AC132" s="58">
        <f t="shared" si="555"/>
        <v>0</v>
      </c>
      <c r="AD132" s="58">
        <f t="shared" si="555"/>
        <v>0</v>
      </c>
      <c r="AE132" s="58">
        <f t="shared" si="555"/>
        <v>0</v>
      </c>
      <c r="AF132" s="58">
        <f t="shared" si="555"/>
        <v>0</v>
      </c>
      <c r="AG132" s="58">
        <f t="shared" si="555"/>
        <v>0</v>
      </c>
      <c r="AH132" s="58">
        <f t="shared" si="555"/>
        <v>0</v>
      </c>
      <c r="AI132" s="58">
        <f t="shared" si="555"/>
        <v>0</v>
      </c>
      <c r="AJ132" s="58">
        <f t="shared" si="555"/>
        <v>0</v>
      </c>
      <c r="AK132" s="58">
        <f t="shared" si="555"/>
        <v>0</v>
      </c>
      <c r="AL132" s="58">
        <f t="shared" si="555"/>
        <v>0</v>
      </c>
      <c r="AM132" s="58">
        <f t="shared" si="555"/>
        <v>0</v>
      </c>
      <c r="AN132" s="58">
        <f t="shared" si="555"/>
        <v>0</v>
      </c>
      <c r="AO132" s="58">
        <f t="shared" si="555"/>
        <v>0</v>
      </c>
      <c r="AP132" s="58">
        <f t="shared" si="555"/>
        <v>0</v>
      </c>
      <c r="AQ132" s="58">
        <f t="shared" si="555"/>
        <v>0</v>
      </c>
      <c r="AR132" s="58">
        <f t="shared" si="555"/>
        <v>0</v>
      </c>
      <c r="AS132" s="58">
        <f t="shared" si="555"/>
        <v>0</v>
      </c>
      <c r="AT132" s="58">
        <f t="shared" si="555"/>
        <v>0</v>
      </c>
      <c r="AU132" s="58">
        <f t="shared" si="555"/>
        <v>0</v>
      </c>
      <c r="AV132" s="58">
        <f t="shared" si="555"/>
        <v>0</v>
      </c>
      <c r="AW132" s="58">
        <f t="shared" si="555"/>
        <v>0</v>
      </c>
      <c r="AX132" s="58">
        <f t="shared" si="555"/>
        <v>0</v>
      </c>
      <c r="AY132" s="58">
        <f t="shared" si="555"/>
        <v>0</v>
      </c>
      <c r="AZ132" s="58">
        <f t="shared" si="555"/>
        <v>0</v>
      </c>
      <c r="BA132" s="58">
        <f t="shared" si="555"/>
        <v>0</v>
      </c>
      <c r="BB132" s="58">
        <f t="shared" si="555"/>
        <v>0</v>
      </c>
      <c r="BC132" s="58">
        <f t="shared" si="555"/>
        <v>0</v>
      </c>
      <c r="BD132" s="58">
        <f t="shared" si="555"/>
        <v>0</v>
      </c>
      <c r="BE132" s="58">
        <f t="shared" si="555"/>
        <v>0</v>
      </c>
      <c r="BF132" s="58">
        <f t="shared" si="555"/>
        <v>0</v>
      </c>
      <c r="BG132" s="58">
        <f t="shared" si="555"/>
        <v>0</v>
      </c>
      <c r="BH132" s="58">
        <f t="shared" si="555"/>
        <v>0</v>
      </c>
      <c r="BI132" s="58">
        <f t="shared" si="555"/>
        <v>0</v>
      </c>
      <c r="BJ132" s="58">
        <f t="shared" si="555"/>
        <v>0</v>
      </c>
      <c r="BK132" s="58">
        <f t="shared" si="555"/>
        <v>0</v>
      </c>
      <c r="BL132" s="58">
        <f t="shared" si="555"/>
        <v>0</v>
      </c>
      <c r="BM132" s="58">
        <f t="shared" si="555"/>
        <v>0</v>
      </c>
      <c r="BN132" s="58">
        <f t="shared" si="555"/>
        <v>0</v>
      </c>
      <c r="BO132" s="58">
        <f t="shared" si="555"/>
        <v>0</v>
      </c>
      <c r="BP132" s="58">
        <f t="shared" si="555"/>
        <v>0</v>
      </c>
      <c r="BQ132" s="58">
        <f t="shared" si="555"/>
        <v>0</v>
      </c>
      <c r="BR132" s="58">
        <f t="shared" si="555"/>
        <v>0</v>
      </c>
      <c r="BS132" s="58">
        <f t="shared" si="555"/>
        <v>0</v>
      </c>
      <c r="BT132" s="58">
        <f t="shared" si="555"/>
        <v>0</v>
      </c>
      <c r="BU132" s="58">
        <f t="shared" si="555"/>
        <v>0</v>
      </c>
      <c r="BV132" s="58">
        <f t="shared" si="555"/>
        <v>0</v>
      </c>
      <c r="BW132" s="58">
        <f t="shared" si="555"/>
        <v>0</v>
      </c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</row>
    <row r="133" spans="1:85" ht="15.75" customHeight="1">
      <c r="A133" s="145"/>
      <c r="B133" s="146"/>
      <c r="C133" s="86" t="s">
        <v>256</v>
      </c>
      <c r="D133" s="126" t="s">
        <v>380</v>
      </c>
      <c r="E133" s="70"/>
      <c r="F133" s="71"/>
      <c r="G133" s="71">
        <f t="shared" ref="G133:G136" si="556">E133-F133</f>
        <v>0</v>
      </c>
      <c r="H133" s="196">
        <v>150000</v>
      </c>
      <c r="I133" s="72">
        <f t="shared" si="45"/>
        <v>0</v>
      </c>
      <c r="J133" s="72">
        <f t="shared" si="46"/>
        <v>0</v>
      </c>
      <c r="K133" s="88"/>
      <c r="L133" s="81"/>
      <c r="M133" s="81"/>
      <c r="N133" s="88"/>
      <c r="O133" s="77">
        <f t="shared" ref="O133:Q133" si="557">AA133+AD133+AG133+AJ133+AM133+AP133+AS133+AV133+AY133+BB133+BE133+BH133</f>
        <v>0</v>
      </c>
      <c r="P133" s="77">
        <f t="shared" si="557"/>
        <v>0</v>
      </c>
      <c r="Q133" s="77">
        <f t="shared" si="557"/>
        <v>0</v>
      </c>
      <c r="R133" s="77">
        <f t="shared" ref="R133:T133" si="558">IF(BK133=0,SUM(AA133+AD133+AG133+AJ133+AM133+AP133+AS133+AV133+AY133+BB133+BE133+BH133),BK133)</f>
        <v>0</v>
      </c>
      <c r="S133" s="77">
        <f t="shared" si="558"/>
        <v>0</v>
      </c>
      <c r="T133" s="77">
        <f t="shared" si="558"/>
        <v>0</v>
      </c>
      <c r="U133" s="79">
        <f t="shared" ref="U133:U136" si="559">K133-O133</f>
        <v>0</v>
      </c>
      <c r="V133" s="79">
        <f t="shared" ref="V133:V136" si="560">L133-M133-S133</f>
        <v>0</v>
      </c>
      <c r="W133" s="79">
        <f t="shared" ref="W133:W136" si="561">N133-Q133</f>
        <v>0</v>
      </c>
      <c r="X133" s="80">
        <f t="shared" ref="X133:Y133" si="562">IF(O133&gt;0,O133/K133,0)</f>
        <v>0</v>
      </c>
      <c r="Y133" s="80">
        <f t="shared" si="562"/>
        <v>0</v>
      </c>
      <c r="Z133" s="80">
        <f t="shared" si="5"/>
        <v>0</v>
      </c>
      <c r="AA133" s="81"/>
      <c r="AB133" s="81"/>
      <c r="AC133" s="81"/>
      <c r="AD133" s="81"/>
      <c r="AE133" s="83"/>
      <c r="AF133" s="83"/>
      <c r="AG133" s="83"/>
      <c r="AH133" s="128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2">
        <v>0</v>
      </c>
      <c r="BL133" s="82">
        <v>0</v>
      </c>
      <c r="BM133" s="82">
        <v>0</v>
      </c>
      <c r="BN133" s="81">
        <f t="shared" ref="BN133:BN136" si="563">IF(O133-BK133&gt;0,O133-BK133,0)</f>
        <v>0</v>
      </c>
      <c r="BO133" s="75">
        <f t="shared" ref="BO133:BO136" si="564">IF(Q133-BM133&gt;0,Q133-BM133,0)</f>
        <v>0</v>
      </c>
      <c r="BP133" s="81">
        <f t="shared" ref="BP133:BP136" si="565">IF(BN133+BO133&gt;0,BN133+BO133,0)</f>
        <v>0</v>
      </c>
      <c r="BQ133" s="81">
        <f t="shared" ref="BQ133:BQ136" si="566">IF(U133=0,0,U133)</f>
        <v>0</v>
      </c>
      <c r="BR133" s="81">
        <f t="shared" ref="BR133:BR136" si="567">IF(W133=0,0,W133)</f>
        <v>0</v>
      </c>
      <c r="BS133" s="81">
        <f t="shared" ref="BS133:BS136" si="568">IF(BQ133+BR133&gt;0,BQ133+BR133,0)</f>
        <v>0</v>
      </c>
      <c r="BT133" s="81">
        <f t="shared" ref="BT133:BT136" si="569">IF(V133&gt;0,V133,0)</f>
        <v>0</v>
      </c>
      <c r="BU133" s="81">
        <f t="shared" ref="BU133:BU136" si="570">IF(BP133=0,0,BP133)</f>
        <v>0</v>
      </c>
      <c r="BV133" s="81">
        <f t="shared" ref="BV133:BV136" si="571">IF(BS133=0,0,BS133)</f>
        <v>0</v>
      </c>
      <c r="BW133" s="81">
        <f t="shared" ref="BW133:BW136" si="572">IF(BP133+BT133+BV133&gt;0,BP133+BT133+BV133,0)</f>
        <v>0</v>
      </c>
      <c r="BX133" s="1"/>
      <c r="BY133" s="1"/>
      <c r="BZ133" s="1"/>
      <c r="CA133" s="1"/>
      <c r="CB133" s="1"/>
      <c r="CC133" s="1"/>
      <c r="CD133" s="1"/>
      <c r="CE133" s="1"/>
      <c r="CF133" s="1"/>
      <c r="CG133" s="1"/>
    </row>
    <row r="134" spans="1:85" ht="15.75" customHeight="1">
      <c r="A134" s="113"/>
      <c r="B134" s="85"/>
      <c r="C134" s="86" t="s">
        <v>256</v>
      </c>
      <c r="D134" s="87" t="s">
        <v>258</v>
      </c>
      <c r="E134" s="70"/>
      <c r="F134" s="71"/>
      <c r="G134" s="71">
        <f t="shared" si="556"/>
        <v>0</v>
      </c>
      <c r="H134" s="196">
        <v>100000</v>
      </c>
      <c r="I134" s="72">
        <f t="shared" si="45"/>
        <v>0</v>
      </c>
      <c r="J134" s="72">
        <f t="shared" si="46"/>
        <v>0</v>
      </c>
      <c r="K134" s="88"/>
      <c r="L134" s="81"/>
      <c r="M134" s="81"/>
      <c r="N134" s="88"/>
      <c r="O134" s="77">
        <f t="shared" ref="O134:Q134" si="573">AA134+AD134+AG134+AJ134+AM134+AP134+AS134+AV134+AY134+BB134+BE134+BH134</f>
        <v>0</v>
      </c>
      <c r="P134" s="77">
        <f t="shared" si="573"/>
        <v>0</v>
      </c>
      <c r="Q134" s="77">
        <f t="shared" si="573"/>
        <v>0</v>
      </c>
      <c r="R134" s="77">
        <f t="shared" ref="R134:T134" si="574">IF(BK134=0,SUM(AA134+AD134+AG134+AJ134+AM134+AP134+AS134+AV134+AY134+BB134+BE134+BH134),BK134)</f>
        <v>0</v>
      </c>
      <c r="S134" s="77">
        <f t="shared" si="574"/>
        <v>0</v>
      </c>
      <c r="T134" s="77">
        <f t="shared" si="574"/>
        <v>0</v>
      </c>
      <c r="U134" s="79">
        <f t="shared" si="559"/>
        <v>0</v>
      </c>
      <c r="V134" s="79">
        <f t="shared" si="560"/>
        <v>0</v>
      </c>
      <c r="W134" s="79">
        <f t="shared" si="561"/>
        <v>0</v>
      </c>
      <c r="X134" s="80">
        <f t="shared" ref="X134:Y134" si="575">IF(O134&gt;0,O134/K134,0)</f>
        <v>0</v>
      </c>
      <c r="Y134" s="80">
        <f t="shared" si="575"/>
        <v>0</v>
      </c>
      <c r="Z134" s="80">
        <f t="shared" si="5"/>
        <v>0</v>
      </c>
      <c r="AA134" s="81"/>
      <c r="AB134" s="81"/>
      <c r="AC134" s="81"/>
      <c r="AD134" s="81"/>
      <c r="AE134" s="83"/>
      <c r="AF134" s="83"/>
      <c r="AG134" s="83"/>
      <c r="AH134" s="83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2">
        <v>0</v>
      </c>
      <c r="BL134" s="82">
        <v>0</v>
      </c>
      <c r="BM134" s="82">
        <v>0</v>
      </c>
      <c r="BN134" s="81">
        <f t="shared" si="563"/>
        <v>0</v>
      </c>
      <c r="BO134" s="75">
        <f t="shared" si="564"/>
        <v>0</v>
      </c>
      <c r="BP134" s="81">
        <f t="shared" si="565"/>
        <v>0</v>
      </c>
      <c r="BQ134" s="81">
        <f t="shared" si="566"/>
        <v>0</v>
      </c>
      <c r="BR134" s="81">
        <f t="shared" si="567"/>
        <v>0</v>
      </c>
      <c r="BS134" s="81">
        <f t="shared" si="568"/>
        <v>0</v>
      </c>
      <c r="BT134" s="81">
        <f t="shared" si="569"/>
        <v>0</v>
      </c>
      <c r="BU134" s="81">
        <f t="shared" si="570"/>
        <v>0</v>
      </c>
      <c r="BV134" s="81">
        <f t="shared" si="571"/>
        <v>0</v>
      </c>
      <c r="BW134" s="81">
        <f t="shared" si="572"/>
        <v>0</v>
      </c>
      <c r="BX134" s="1"/>
      <c r="BY134" s="1"/>
      <c r="BZ134" s="1"/>
      <c r="CA134" s="1"/>
      <c r="CB134" s="1"/>
      <c r="CC134" s="1"/>
      <c r="CD134" s="1"/>
      <c r="CE134" s="1"/>
      <c r="CF134" s="1"/>
      <c r="CG134" s="1"/>
    </row>
    <row r="135" spans="1:85" ht="15.75" customHeight="1">
      <c r="A135" s="145"/>
      <c r="B135" s="132"/>
      <c r="C135" s="86" t="s">
        <v>262</v>
      </c>
      <c r="D135" s="126" t="s">
        <v>381</v>
      </c>
      <c r="E135" s="70"/>
      <c r="F135" s="71"/>
      <c r="G135" s="71">
        <f t="shared" si="556"/>
        <v>0</v>
      </c>
      <c r="H135" s="196">
        <v>80000</v>
      </c>
      <c r="I135" s="72">
        <f t="shared" si="45"/>
        <v>0</v>
      </c>
      <c r="J135" s="72">
        <f t="shared" si="46"/>
        <v>0</v>
      </c>
      <c r="K135" s="88"/>
      <c r="L135" s="81"/>
      <c r="M135" s="81"/>
      <c r="N135" s="88"/>
      <c r="O135" s="77">
        <f t="shared" ref="O135:Q135" si="576">AA135+AD135+AG135+AJ135+AM135+AP135+AS135+AV135+AY135+BB135+BE135+BH135</f>
        <v>0</v>
      </c>
      <c r="P135" s="77">
        <f t="shared" si="576"/>
        <v>0</v>
      </c>
      <c r="Q135" s="77">
        <f t="shared" si="576"/>
        <v>0</v>
      </c>
      <c r="R135" s="77">
        <f t="shared" ref="R135:T135" si="577">IF(BK135=0,SUM(AA135+AD135+AG135+AJ135+AM135+AP135+AS135+AV135+AY135+BB135+BE135+BH135),BK135)</f>
        <v>0</v>
      </c>
      <c r="S135" s="77">
        <f t="shared" si="577"/>
        <v>0</v>
      </c>
      <c r="T135" s="77">
        <f t="shared" si="577"/>
        <v>0</v>
      </c>
      <c r="U135" s="79">
        <f t="shared" si="559"/>
        <v>0</v>
      </c>
      <c r="V135" s="79">
        <f t="shared" si="560"/>
        <v>0</v>
      </c>
      <c r="W135" s="79">
        <f t="shared" si="561"/>
        <v>0</v>
      </c>
      <c r="X135" s="80">
        <f t="shared" ref="X135:Y135" si="578">IF(O135&gt;0,O135/K135,0)</f>
        <v>0</v>
      </c>
      <c r="Y135" s="80">
        <f t="shared" si="578"/>
        <v>0</v>
      </c>
      <c r="Z135" s="80">
        <f t="shared" si="5"/>
        <v>0</v>
      </c>
      <c r="AA135" s="81"/>
      <c r="AB135" s="81"/>
      <c r="AC135" s="81"/>
      <c r="AD135" s="81"/>
      <c r="AE135" s="83"/>
      <c r="AF135" s="83"/>
      <c r="AG135" s="83"/>
      <c r="AH135" s="83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2">
        <v>0</v>
      </c>
      <c r="BL135" s="82">
        <v>0</v>
      </c>
      <c r="BM135" s="82">
        <v>0</v>
      </c>
      <c r="BN135" s="81">
        <f t="shared" si="563"/>
        <v>0</v>
      </c>
      <c r="BO135" s="75">
        <f t="shared" si="564"/>
        <v>0</v>
      </c>
      <c r="BP135" s="81">
        <f t="shared" si="565"/>
        <v>0</v>
      </c>
      <c r="BQ135" s="81">
        <f t="shared" si="566"/>
        <v>0</v>
      </c>
      <c r="BR135" s="81">
        <f t="shared" si="567"/>
        <v>0</v>
      </c>
      <c r="BS135" s="81">
        <f t="shared" si="568"/>
        <v>0</v>
      </c>
      <c r="BT135" s="81">
        <f t="shared" si="569"/>
        <v>0</v>
      </c>
      <c r="BU135" s="81">
        <f t="shared" si="570"/>
        <v>0</v>
      </c>
      <c r="BV135" s="81">
        <f t="shared" si="571"/>
        <v>0</v>
      </c>
      <c r="BW135" s="81">
        <f t="shared" si="572"/>
        <v>0</v>
      </c>
      <c r="BX135" s="1"/>
      <c r="BY135" s="1"/>
      <c r="BZ135" s="1"/>
      <c r="CA135" s="1"/>
      <c r="CB135" s="1"/>
      <c r="CC135" s="1"/>
      <c r="CD135" s="1"/>
      <c r="CE135" s="1"/>
      <c r="CF135" s="1"/>
      <c r="CG135" s="1"/>
    </row>
    <row r="136" spans="1:85" ht="15.75" customHeight="1">
      <c r="A136" s="113"/>
      <c r="B136" s="85"/>
      <c r="C136" s="86" t="s">
        <v>262</v>
      </c>
      <c r="D136" s="126" t="s">
        <v>382</v>
      </c>
      <c r="E136" s="70"/>
      <c r="F136" s="71"/>
      <c r="G136" s="71">
        <f t="shared" si="556"/>
        <v>0</v>
      </c>
      <c r="H136" s="196">
        <v>250000</v>
      </c>
      <c r="I136" s="72">
        <f t="shared" si="45"/>
        <v>0</v>
      </c>
      <c r="J136" s="72">
        <f t="shared" si="46"/>
        <v>0</v>
      </c>
      <c r="K136" s="88"/>
      <c r="L136" s="81"/>
      <c r="M136" s="81"/>
      <c r="N136" s="88"/>
      <c r="O136" s="77">
        <f t="shared" ref="O136:Q136" si="579">AA136+AD136+AG136+AJ136+AM136+AP136+AS136+AV136+AY136+BB136+BE136+BH136</f>
        <v>0</v>
      </c>
      <c r="P136" s="77">
        <f t="shared" si="579"/>
        <v>0</v>
      </c>
      <c r="Q136" s="77">
        <f t="shared" si="579"/>
        <v>0</v>
      </c>
      <c r="R136" s="77">
        <f t="shared" ref="R136:T136" si="580">IF(BK136=0,SUM(AA136+AD136+AG136+AJ136+AM136+AP136+AS136+AV136+AY136+BB136+BE136+BH136),BK136)</f>
        <v>0</v>
      </c>
      <c r="S136" s="77">
        <f t="shared" si="580"/>
        <v>0</v>
      </c>
      <c r="T136" s="77">
        <f t="shared" si="580"/>
        <v>0</v>
      </c>
      <c r="U136" s="79">
        <f t="shared" si="559"/>
        <v>0</v>
      </c>
      <c r="V136" s="79">
        <f t="shared" si="560"/>
        <v>0</v>
      </c>
      <c r="W136" s="79">
        <f t="shared" si="561"/>
        <v>0</v>
      </c>
      <c r="X136" s="80">
        <f t="shared" ref="X136:Y136" si="581">IF(O136&gt;0,O136/K136,0)</f>
        <v>0</v>
      </c>
      <c r="Y136" s="80">
        <f t="shared" si="581"/>
        <v>0</v>
      </c>
      <c r="Z136" s="80">
        <f t="shared" si="5"/>
        <v>0</v>
      </c>
      <c r="AA136" s="81"/>
      <c r="AB136" s="82"/>
      <c r="AC136" s="81"/>
      <c r="AD136" s="81"/>
      <c r="AE136" s="128"/>
      <c r="AF136" s="83"/>
      <c r="AG136" s="83"/>
      <c r="AH136" s="83"/>
      <c r="AI136" s="81"/>
      <c r="AJ136" s="81"/>
      <c r="AK136" s="82"/>
      <c r="AL136" s="81"/>
      <c r="AM136" s="81"/>
      <c r="AN136" s="82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2">
        <v>0</v>
      </c>
      <c r="BL136" s="82">
        <v>0</v>
      </c>
      <c r="BM136" s="82">
        <v>0</v>
      </c>
      <c r="BN136" s="81">
        <f t="shared" si="563"/>
        <v>0</v>
      </c>
      <c r="BO136" s="75">
        <f t="shared" si="564"/>
        <v>0</v>
      </c>
      <c r="BP136" s="81">
        <f t="shared" si="565"/>
        <v>0</v>
      </c>
      <c r="BQ136" s="81">
        <f t="shared" si="566"/>
        <v>0</v>
      </c>
      <c r="BR136" s="81">
        <f t="shared" si="567"/>
        <v>0</v>
      </c>
      <c r="BS136" s="81">
        <f t="shared" si="568"/>
        <v>0</v>
      </c>
      <c r="BT136" s="81">
        <f t="shared" si="569"/>
        <v>0</v>
      </c>
      <c r="BU136" s="81">
        <f t="shared" si="570"/>
        <v>0</v>
      </c>
      <c r="BV136" s="81">
        <f t="shared" si="571"/>
        <v>0</v>
      </c>
      <c r="BW136" s="81">
        <f t="shared" si="572"/>
        <v>0</v>
      </c>
      <c r="BX136" s="1"/>
      <c r="BY136" s="1"/>
      <c r="BZ136" s="1"/>
      <c r="CA136" s="1"/>
      <c r="CB136" s="1"/>
      <c r="CC136" s="1"/>
      <c r="CD136" s="1"/>
      <c r="CE136" s="1"/>
      <c r="CF136" s="1"/>
      <c r="CG136" s="1"/>
    </row>
    <row r="137" spans="1:85" ht="15.75">
      <c r="A137" s="109"/>
      <c r="B137" s="110"/>
      <c r="C137" s="111"/>
      <c r="D137" s="112" t="s">
        <v>383</v>
      </c>
      <c r="E137" s="58">
        <f t="shared" ref="E137:H137" si="582">SUM(E138:E147)</f>
        <v>0</v>
      </c>
      <c r="F137" s="59">
        <f t="shared" si="582"/>
        <v>0</v>
      </c>
      <c r="G137" s="59">
        <f t="shared" si="582"/>
        <v>0</v>
      </c>
      <c r="H137" s="59">
        <f t="shared" si="582"/>
        <v>5800000</v>
      </c>
      <c r="I137" s="60">
        <f t="shared" si="45"/>
        <v>0</v>
      </c>
      <c r="J137" s="60">
        <f t="shared" si="46"/>
        <v>0</v>
      </c>
      <c r="K137" s="59">
        <f t="shared" ref="K137:W137" si="583">SUM(K138:K147)</f>
        <v>0</v>
      </c>
      <c r="L137" s="59">
        <f t="shared" si="583"/>
        <v>0</v>
      </c>
      <c r="M137" s="59">
        <f t="shared" si="583"/>
        <v>0</v>
      </c>
      <c r="N137" s="59">
        <f t="shared" si="583"/>
        <v>0</v>
      </c>
      <c r="O137" s="59">
        <f t="shared" si="583"/>
        <v>0</v>
      </c>
      <c r="P137" s="59">
        <f t="shared" si="583"/>
        <v>0</v>
      </c>
      <c r="Q137" s="59">
        <f t="shared" si="583"/>
        <v>0</v>
      </c>
      <c r="R137" s="59">
        <f t="shared" si="583"/>
        <v>0</v>
      </c>
      <c r="S137" s="59">
        <f t="shared" si="583"/>
        <v>0</v>
      </c>
      <c r="T137" s="59">
        <f t="shared" si="583"/>
        <v>0</v>
      </c>
      <c r="U137" s="59">
        <f t="shared" si="583"/>
        <v>0</v>
      </c>
      <c r="V137" s="59">
        <f t="shared" si="583"/>
        <v>0</v>
      </c>
      <c r="W137" s="59">
        <f t="shared" si="583"/>
        <v>0</v>
      </c>
      <c r="X137" s="63">
        <f t="shared" ref="X137:Y137" si="584">IF(O137&gt;0,O137/K137,0)</f>
        <v>0</v>
      </c>
      <c r="Y137" s="63">
        <f t="shared" si="584"/>
        <v>0</v>
      </c>
      <c r="Z137" s="63">
        <f t="shared" si="5"/>
        <v>0</v>
      </c>
      <c r="AA137" s="59">
        <f t="shared" ref="AA137:BW137" si="585">SUM(AA138:AA147)</f>
        <v>0</v>
      </c>
      <c r="AB137" s="59">
        <f t="shared" si="585"/>
        <v>0</v>
      </c>
      <c r="AC137" s="59">
        <f t="shared" si="585"/>
        <v>0</v>
      </c>
      <c r="AD137" s="59">
        <f t="shared" si="585"/>
        <v>0</v>
      </c>
      <c r="AE137" s="59">
        <f t="shared" si="585"/>
        <v>0</v>
      </c>
      <c r="AF137" s="59">
        <f t="shared" si="585"/>
        <v>0</v>
      </c>
      <c r="AG137" s="59">
        <f t="shared" si="585"/>
        <v>0</v>
      </c>
      <c r="AH137" s="59">
        <f t="shared" si="585"/>
        <v>0</v>
      </c>
      <c r="AI137" s="59">
        <f t="shared" si="585"/>
        <v>0</v>
      </c>
      <c r="AJ137" s="59">
        <f t="shared" si="585"/>
        <v>0</v>
      </c>
      <c r="AK137" s="59">
        <f t="shared" si="585"/>
        <v>0</v>
      </c>
      <c r="AL137" s="59">
        <f t="shared" si="585"/>
        <v>0</v>
      </c>
      <c r="AM137" s="59">
        <f t="shared" si="585"/>
        <v>0</v>
      </c>
      <c r="AN137" s="59">
        <f t="shared" si="585"/>
        <v>0</v>
      </c>
      <c r="AO137" s="59">
        <f t="shared" si="585"/>
        <v>0</v>
      </c>
      <c r="AP137" s="59">
        <f t="shared" si="585"/>
        <v>0</v>
      </c>
      <c r="AQ137" s="59">
        <f t="shared" si="585"/>
        <v>0</v>
      </c>
      <c r="AR137" s="59">
        <f t="shared" si="585"/>
        <v>0</v>
      </c>
      <c r="AS137" s="59">
        <f t="shared" si="585"/>
        <v>0</v>
      </c>
      <c r="AT137" s="59">
        <f t="shared" si="585"/>
        <v>0</v>
      </c>
      <c r="AU137" s="59">
        <f t="shared" si="585"/>
        <v>0</v>
      </c>
      <c r="AV137" s="59">
        <f t="shared" si="585"/>
        <v>0</v>
      </c>
      <c r="AW137" s="59">
        <f t="shared" si="585"/>
        <v>0</v>
      </c>
      <c r="AX137" s="59">
        <f t="shared" si="585"/>
        <v>0</v>
      </c>
      <c r="AY137" s="59">
        <f t="shared" si="585"/>
        <v>0</v>
      </c>
      <c r="AZ137" s="59">
        <f t="shared" si="585"/>
        <v>0</v>
      </c>
      <c r="BA137" s="59">
        <f t="shared" si="585"/>
        <v>0</v>
      </c>
      <c r="BB137" s="59">
        <f t="shared" si="585"/>
        <v>0</v>
      </c>
      <c r="BC137" s="59">
        <f t="shared" si="585"/>
        <v>0</v>
      </c>
      <c r="BD137" s="59">
        <f t="shared" si="585"/>
        <v>0</v>
      </c>
      <c r="BE137" s="59">
        <f t="shared" si="585"/>
        <v>0</v>
      </c>
      <c r="BF137" s="59">
        <f t="shared" si="585"/>
        <v>0</v>
      </c>
      <c r="BG137" s="59">
        <f t="shared" si="585"/>
        <v>0</v>
      </c>
      <c r="BH137" s="59">
        <f t="shared" si="585"/>
        <v>0</v>
      </c>
      <c r="BI137" s="59">
        <f t="shared" si="585"/>
        <v>0</v>
      </c>
      <c r="BJ137" s="59">
        <f t="shared" si="585"/>
        <v>0</v>
      </c>
      <c r="BK137" s="59">
        <f t="shared" si="585"/>
        <v>0</v>
      </c>
      <c r="BL137" s="59">
        <f t="shared" si="585"/>
        <v>0</v>
      </c>
      <c r="BM137" s="59">
        <f t="shared" si="585"/>
        <v>0</v>
      </c>
      <c r="BN137" s="59">
        <f t="shared" si="585"/>
        <v>0</v>
      </c>
      <c r="BO137" s="59">
        <f t="shared" si="585"/>
        <v>0</v>
      </c>
      <c r="BP137" s="59">
        <f t="shared" si="585"/>
        <v>0</v>
      </c>
      <c r="BQ137" s="59">
        <f t="shared" si="585"/>
        <v>0</v>
      </c>
      <c r="BR137" s="59">
        <f t="shared" si="585"/>
        <v>0</v>
      </c>
      <c r="BS137" s="59">
        <f t="shared" si="585"/>
        <v>0</v>
      </c>
      <c r="BT137" s="59">
        <f t="shared" si="585"/>
        <v>0</v>
      </c>
      <c r="BU137" s="59">
        <f t="shared" si="585"/>
        <v>0</v>
      </c>
      <c r="BV137" s="59">
        <f t="shared" si="585"/>
        <v>0</v>
      </c>
      <c r="BW137" s="59">
        <f t="shared" si="585"/>
        <v>0</v>
      </c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</row>
    <row r="138" spans="1:85" ht="15.75" customHeight="1">
      <c r="A138" s="84"/>
      <c r="B138" s="115"/>
      <c r="C138" s="86" t="s">
        <v>363</v>
      </c>
      <c r="D138" s="87" t="s">
        <v>384</v>
      </c>
      <c r="E138" s="70"/>
      <c r="F138" s="71"/>
      <c r="G138" s="71">
        <f t="shared" ref="G138:G147" si="586">E138-F138</f>
        <v>0</v>
      </c>
      <c r="H138" s="196">
        <v>300000</v>
      </c>
      <c r="I138" s="72">
        <f t="shared" si="45"/>
        <v>0</v>
      </c>
      <c r="J138" s="72">
        <f t="shared" si="46"/>
        <v>0</v>
      </c>
      <c r="K138" s="88"/>
      <c r="L138" s="81"/>
      <c r="M138" s="81"/>
      <c r="N138" s="107"/>
      <c r="O138" s="77">
        <f t="shared" ref="O138:Q138" si="587">AA138+AD138+AG138+AJ138+AM138+AP138+AS138+AV138+AY138+BB138+BE138+BH138</f>
        <v>0</v>
      </c>
      <c r="P138" s="77">
        <f t="shared" si="587"/>
        <v>0</v>
      </c>
      <c r="Q138" s="77">
        <f t="shared" si="587"/>
        <v>0</v>
      </c>
      <c r="R138" s="77">
        <f t="shared" ref="R138:T138" si="588">IF(BK138=0,SUM(AA138+AD138+AG138+AJ138+AM138+AP138+AS138+AV138+AY138+BB138+BE138+BH138),BK138)</f>
        <v>0</v>
      </c>
      <c r="S138" s="77">
        <f t="shared" si="588"/>
        <v>0</v>
      </c>
      <c r="T138" s="77">
        <f t="shared" si="588"/>
        <v>0</v>
      </c>
      <c r="U138" s="79">
        <f t="shared" ref="U138:U147" si="589">K138-O138</f>
        <v>0</v>
      </c>
      <c r="V138" s="79">
        <f t="shared" ref="V138:V147" si="590">L138-M138-S138</f>
        <v>0</v>
      </c>
      <c r="W138" s="79">
        <f t="shared" ref="W138:W147" si="591">N138-Q138</f>
        <v>0</v>
      </c>
      <c r="X138" s="80">
        <f t="shared" ref="X138:Y138" si="592">IF(O138&gt;0,O138/K138,0)</f>
        <v>0</v>
      </c>
      <c r="Y138" s="80">
        <f t="shared" si="592"/>
        <v>0</v>
      </c>
      <c r="Z138" s="80">
        <f t="shared" si="5"/>
        <v>0</v>
      </c>
      <c r="AA138" s="81"/>
      <c r="AB138" s="81"/>
      <c r="AC138" s="81"/>
      <c r="AD138" s="81"/>
      <c r="AE138" s="83"/>
      <c r="AF138" s="83"/>
      <c r="AG138" s="83"/>
      <c r="AH138" s="83"/>
      <c r="AI138" s="81"/>
      <c r="AJ138" s="81"/>
      <c r="AK138" s="81"/>
      <c r="AL138" s="81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1"/>
      <c r="BE138" s="81"/>
      <c r="BF138" s="81"/>
      <c r="BG138" s="81"/>
      <c r="BH138" s="81"/>
      <c r="BI138" s="81"/>
      <c r="BJ138" s="81"/>
      <c r="BK138" s="82">
        <v>0</v>
      </c>
      <c r="BL138" s="82">
        <v>0</v>
      </c>
      <c r="BM138" s="82">
        <v>0</v>
      </c>
      <c r="BN138" s="81">
        <f t="shared" ref="BN138:BN147" si="593">IF(O138-BK138&gt;0,O138-BK138,0)</f>
        <v>0</v>
      </c>
      <c r="BO138" s="75">
        <f t="shared" ref="BO138:BO147" si="594">IF(Q138-BM138&gt;0,Q138-BM138,0)</f>
        <v>0</v>
      </c>
      <c r="BP138" s="81">
        <f t="shared" ref="BP138:BP147" si="595">IF(BN138+BO138&gt;0,BN138+BO138,0)</f>
        <v>0</v>
      </c>
      <c r="BQ138" s="81">
        <f t="shared" ref="BQ138:BQ147" si="596">IF(U138=0,0,U138)</f>
        <v>0</v>
      </c>
      <c r="BR138" s="81">
        <f t="shared" ref="BR138:BR147" si="597">IF(W138=0,0,W138)</f>
        <v>0</v>
      </c>
      <c r="BS138" s="81">
        <f t="shared" ref="BS138:BS147" si="598">IF(BQ138+BR138&gt;0,BQ138+BR138,0)</f>
        <v>0</v>
      </c>
      <c r="BT138" s="81">
        <f t="shared" ref="BT138:BT147" si="599">IF(V138&gt;0,V138,0)</f>
        <v>0</v>
      </c>
      <c r="BU138" s="81">
        <f t="shared" ref="BU138:BU147" si="600">IF(BP138=0,0,BP138)</f>
        <v>0</v>
      </c>
      <c r="BV138" s="81">
        <f t="shared" ref="BV138:BV147" si="601">IF(BS138=0,0,BS138)</f>
        <v>0</v>
      </c>
      <c r="BW138" s="81">
        <f t="shared" ref="BW138:BW147" si="602">IF(BP138+BT138+BV138&gt;0,BP138+BT138+BV138,0)</f>
        <v>0</v>
      </c>
      <c r="BX138" s="1"/>
      <c r="BY138" s="1"/>
      <c r="BZ138" s="1"/>
      <c r="CA138" s="1"/>
      <c r="CB138" s="1"/>
      <c r="CC138" s="1"/>
      <c r="CD138" s="1"/>
      <c r="CE138" s="1"/>
      <c r="CF138" s="1"/>
      <c r="CG138" s="1"/>
    </row>
    <row r="139" spans="1:85" ht="15.75" customHeight="1">
      <c r="A139" s="84"/>
      <c r="B139" s="115"/>
      <c r="C139" s="86" t="s">
        <v>363</v>
      </c>
      <c r="D139" s="87" t="s">
        <v>385</v>
      </c>
      <c r="E139" s="70"/>
      <c r="F139" s="71"/>
      <c r="G139" s="71">
        <f t="shared" si="586"/>
        <v>0</v>
      </c>
      <c r="H139" s="196">
        <v>250000</v>
      </c>
      <c r="I139" s="72">
        <f t="shared" si="45"/>
        <v>0</v>
      </c>
      <c r="J139" s="72">
        <f t="shared" si="46"/>
        <v>0</v>
      </c>
      <c r="K139" s="88"/>
      <c r="L139" s="81"/>
      <c r="M139" s="81"/>
      <c r="N139" s="107"/>
      <c r="O139" s="77">
        <f t="shared" ref="O139:Q139" si="603">AA139+AD139+AG139+AJ139+AM139+AP139+AS139+AV139+AY139+BB139+BE139+BH139</f>
        <v>0</v>
      </c>
      <c r="P139" s="77">
        <f t="shared" si="603"/>
        <v>0</v>
      </c>
      <c r="Q139" s="77">
        <f t="shared" si="603"/>
        <v>0</v>
      </c>
      <c r="R139" s="77">
        <f t="shared" ref="R139:T139" si="604">IF(BK139=0,SUM(AA139+AD139+AG139+AJ139+AM139+AP139+AS139+AV139+AY139+BB139+BE139+BH139),BK139)</f>
        <v>0</v>
      </c>
      <c r="S139" s="77">
        <f t="shared" si="604"/>
        <v>0</v>
      </c>
      <c r="T139" s="77">
        <f t="shared" si="604"/>
        <v>0</v>
      </c>
      <c r="U139" s="79">
        <f t="shared" si="589"/>
        <v>0</v>
      </c>
      <c r="V139" s="79">
        <f t="shared" si="590"/>
        <v>0</v>
      </c>
      <c r="W139" s="79">
        <f t="shared" si="591"/>
        <v>0</v>
      </c>
      <c r="X139" s="80">
        <f t="shared" ref="X139:Y139" si="605">IF(O139&gt;0,O139/K139,0)</f>
        <v>0</v>
      </c>
      <c r="Y139" s="80">
        <f t="shared" si="605"/>
        <v>0</v>
      </c>
      <c r="Z139" s="80">
        <f t="shared" si="5"/>
        <v>0</v>
      </c>
      <c r="AA139" s="81"/>
      <c r="AB139" s="81"/>
      <c r="AC139" s="81"/>
      <c r="AD139" s="81"/>
      <c r="AE139" s="83"/>
      <c r="AF139" s="83"/>
      <c r="AG139" s="83"/>
      <c r="AH139" s="83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  <c r="BE139" s="81"/>
      <c r="BF139" s="81"/>
      <c r="BG139" s="81"/>
      <c r="BH139" s="81"/>
      <c r="BI139" s="81"/>
      <c r="BJ139" s="81"/>
      <c r="BK139" s="82">
        <v>0</v>
      </c>
      <c r="BL139" s="82">
        <v>0</v>
      </c>
      <c r="BM139" s="82">
        <v>0</v>
      </c>
      <c r="BN139" s="81">
        <f t="shared" si="593"/>
        <v>0</v>
      </c>
      <c r="BO139" s="75">
        <f t="shared" si="594"/>
        <v>0</v>
      </c>
      <c r="BP139" s="81">
        <f t="shared" si="595"/>
        <v>0</v>
      </c>
      <c r="BQ139" s="81">
        <f t="shared" si="596"/>
        <v>0</v>
      </c>
      <c r="BR139" s="81">
        <f t="shared" si="597"/>
        <v>0</v>
      </c>
      <c r="BS139" s="81">
        <f t="shared" si="598"/>
        <v>0</v>
      </c>
      <c r="BT139" s="81">
        <f t="shared" si="599"/>
        <v>0</v>
      </c>
      <c r="BU139" s="81">
        <f t="shared" si="600"/>
        <v>0</v>
      </c>
      <c r="BV139" s="81">
        <f t="shared" si="601"/>
        <v>0</v>
      </c>
      <c r="BW139" s="81">
        <f t="shared" si="602"/>
        <v>0</v>
      </c>
      <c r="BX139" s="1"/>
      <c r="BY139" s="1"/>
      <c r="BZ139" s="1"/>
      <c r="CA139" s="1"/>
      <c r="CB139" s="1"/>
      <c r="CC139" s="1"/>
      <c r="CD139" s="1"/>
      <c r="CE139" s="1"/>
      <c r="CF139" s="1"/>
      <c r="CG139" s="1"/>
    </row>
    <row r="140" spans="1:85" ht="15.75" customHeight="1">
      <c r="A140" s="84"/>
      <c r="B140" s="115"/>
      <c r="C140" s="86" t="s">
        <v>363</v>
      </c>
      <c r="D140" s="126" t="s">
        <v>386</v>
      </c>
      <c r="E140" s="70"/>
      <c r="F140" s="71"/>
      <c r="G140" s="71">
        <f t="shared" si="586"/>
        <v>0</v>
      </c>
      <c r="H140" s="197">
        <v>250000</v>
      </c>
      <c r="I140" s="72">
        <f t="shared" si="45"/>
        <v>0</v>
      </c>
      <c r="J140" s="72">
        <f t="shared" si="46"/>
        <v>0</v>
      </c>
      <c r="K140" s="88"/>
      <c r="L140" s="81"/>
      <c r="M140" s="81"/>
      <c r="N140" s="107"/>
      <c r="O140" s="77">
        <f t="shared" ref="O140:Q140" si="606">AA140+AD140+AG140+AJ140+AM140+AP140+AS140+AV140+AY140+BB140+BE140+BH140</f>
        <v>0</v>
      </c>
      <c r="P140" s="77">
        <f t="shared" si="606"/>
        <v>0</v>
      </c>
      <c r="Q140" s="77">
        <f t="shared" si="606"/>
        <v>0</v>
      </c>
      <c r="R140" s="77">
        <f t="shared" ref="R140:T140" si="607">IF(BK140=0,SUM(AA140+AD140+AG140+AJ140+AM140+AP140+AS140+AV140+AY140+BB140+BE140+BH140),BK140)</f>
        <v>0</v>
      </c>
      <c r="S140" s="77">
        <f t="shared" si="607"/>
        <v>0</v>
      </c>
      <c r="T140" s="77">
        <f t="shared" si="607"/>
        <v>0</v>
      </c>
      <c r="U140" s="79">
        <f t="shared" si="589"/>
        <v>0</v>
      </c>
      <c r="V140" s="79">
        <f t="shared" si="590"/>
        <v>0</v>
      </c>
      <c r="W140" s="79">
        <f t="shared" si="591"/>
        <v>0</v>
      </c>
      <c r="X140" s="80">
        <f t="shared" ref="X140:Y140" si="608">IF(O140&gt;0,O140/K140,0)</f>
        <v>0</v>
      </c>
      <c r="Y140" s="80">
        <f t="shared" si="608"/>
        <v>0</v>
      </c>
      <c r="Z140" s="80">
        <f t="shared" si="5"/>
        <v>0</v>
      </c>
      <c r="AA140" s="81"/>
      <c r="AB140" s="81"/>
      <c r="AC140" s="81"/>
      <c r="AD140" s="81"/>
      <c r="AE140" s="83"/>
      <c r="AF140" s="83"/>
      <c r="AG140" s="83"/>
      <c r="AH140" s="83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  <c r="BE140" s="81"/>
      <c r="BF140" s="81"/>
      <c r="BG140" s="81"/>
      <c r="BH140" s="81"/>
      <c r="BI140" s="81"/>
      <c r="BJ140" s="81"/>
      <c r="BK140" s="82">
        <v>0</v>
      </c>
      <c r="BL140" s="82">
        <v>0</v>
      </c>
      <c r="BM140" s="82">
        <v>0</v>
      </c>
      <c r="BN140" s="81">
        <f t="shared" si="593"/>
        <v>0</v>
      </c>
      <c r="BO140" s="75">
        <f t="shared" si="594"/>
        <v>0</v>
      </c>
      <c r="BP140" s="81">
        <f t="shared" si="595"/>
        <v>0</v>
      </c>
      <c r="BQ140" s="81">
        <f t="shared" si="596"/>
        <v>0</v>
      </c>
      <c r="BR140" s="81">
        <f t="shared" si="597"/>
        <v>0</v>
      </c>
      <c r="BS140" s="81">
        <f t="shared" si="598"/>
        <v>0</v>
      </c>
      <c r="BT140" s="81">
        <f t="shared" si="599"/>
        <v>0</v>
      </c>
      <c r="BU140" s="81">
        <f t="shared" si="600"/>
        <v>0</v>
      </c>
      <c r="BV140" s="81">
        <f t="shared" si="601"/>
        <v>0</v>
      </c>
      <c r="BW140" s="81">
        <f t="shared" si="602"/>
        <v>0</v>
      </c>
      <c r="BX140" s="1"/>
      <c r="BY140" s="1"/>
      <c r="BZ140" s="1"/>
      <c r="CA140" s="1"/>
      <c r="CB140" s="1"/>
      <c r="CC140" s="1"/>
      <c r="CD140" s="1"/>
      <c r="CE140" s="1"/>
      <c r="CF140" s="1"/>
      <c r="CG140" s="1"/>
    </row>
    <row r="141" spans="1:85" ht="15.75" customHeight="1">
      <c r="A141" s="84"/>
      <c r="B141" s="115"/>
      <c r="C141" s="86" t="s">
        <v>363</v>
      </c>
      <c r="D141" s="87" t="s">
        <v>387</v>
      </c>
      <c r="E141" s="70"/>
      <c r="F141" s="71"/>
      <c r="G141" s="71">
        <f t="shared" si="586"/>
        <v>0</v>
      </c>
      <c r="H141" s="196">
        <v>2000000</v>
      </c>
      <c r="I141" s="72">
        <f t="shared" si="45"/>
        <v>0</v>
      </c>
      <c r="J141" s="72">
        <f t="shared" si="46"/>
        <v>0</v>
      </c>
      <c r="K141" s="88"/>
      <c r="L141" s="81"/>
      <c r="M141" s="81"/>
      <c r="N141" s="107"/>
      <c r="O141" s="77">
        <f t="shared" ref="O141:Q141" si="609">AA141+AD141+AG141+AJ141+AM141+AP141+AS141+AV141+AY141+BB141+BE141+BH141</f>
        <v>0</v>
      </c>
      <c r="P141" s="77">
        <f t="shared" si="609"/>
        <v>0</v>
      </c>
      <c r="Q141" s="77">
        <f t="shared" si="609"/>
        <v>0</v>
      </c>
      <c r="R141" s="77">
        <f t="shared" ref="R141:T141" si="610">IF(BK141=0,SUM(AA141+AD141+AG141+AJ141+AM141+AP141+AS141+AV141+AY141+BB141+BE141+BH141),BK141)</f>
        <v>0</v>
      </c>
      <c r="S141" s="77">
        <f t="shared" si="610"/>
        <v>0</v>
      </c>
      <c r="T141" s="77">
        <f t="shared" si="610"/>
        <v>0</v>
      </c>
      <c r="U141" s="79">
        <f t="shared" si="589"/>
        <v>0</v>
      </c>
      <c r="V141" s="79">
        <f t="shared" si="590"/>
        <v>0</v>
      </c>
      <c r="W141" s="79">
        <f t="shared" si="591"/>
        <v>0</v>
      </c>
      <c r="X141" s="80">
        <f t="shared" ref="X141:Y141" si="611">IF(O141&gt;0,O141/K141,0)</f>
        <v>0</v>
      </c>
      <c r="Y141" s="80">
        <f t="shared" si="611"/>
        <v>0</v>
      </c>
      <c r="Z141" s="80">
        <f t="shared" si="5"/>
        <v>0</v>
      </c>
      <c r="AA141" s="81"/>
      <c r="AB141" s="81"/>
      <c r="AC141" s="81"/>
      <c r="AD141" s="81"/>
      <c r="AE141" s="83"/>
      <c r="AF141" s="83"/>
      <c r="AG141" s="83"/>
      <c r="AH141" s="83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1"/>
      <c r="BE141" s="81"/>
      <c r="BF141" s="81"/>
      <c r="BG141" s="81"/>
      <c r="BH141" s="81"/>
      <c r="BI141" s="81"/>
      <c r="BJ141" s="81"/>
      <c r="BK141" s="82">
        <v>0</v>
      </c>
      <c r="BL141" s="82">
        <v>0</v>
      </c>
      <c r="BM141" s="82">
        <v>0</v>
      </c>
      <c r="BN141" s="81">
        <f t="shared" si="593"/>
        <v>0</v>
      </c>
      <c r="BO141" s="75">
        <f t="shared" si="594"/>
        <v>0</v>
      </c>
      <c r="BP141" s="81">
        <f t="shared" si="595"/>
        <v>0</v>
      </c>
      <c r="BQ141" s="81">
        <f t="shared" si="596"/>
        <v>0</v>
      </c>
      <c r="BR141" s="81">
        <f t="shared" si="597"/>
        <v>0</v>
      </c>
      <c r="BS141" s="81">
        <f t="shared" si="598"/>
        <v>0</v>
      </c>
      <c r="BT141" s="81">
        <f t="shared" si="599"/>
        <v>0</v>
      </c>
      <c r="BU141" s="81">
        <f t="shared" si="600"/>
        <v>0</v>
      </c>
      <c r="BV141" s="81">
        <f t="shared" si="601"/>
        <v>0</v>
      </c>
      <c r="BW141" s="81">
        <f t="shared" si="602"/>
        <v>0</v>
      </c>
      <c r="BX141" s="1"/>
      <c r="BY141" s="1"/>
      <c r="BZ141" s="1"/>
      <c r="CA141" s="1"/>
      <c r="CB141" s="1"/>
      <c r="CC141" s="1"/>
      <c r="CD141" s="1"/>
      <c r="CE141" s="1"/>
      <c r="CF141" s="1"/>
      <c r="CG141" s="1"/>
    </row>
    <row r="142" spans="1:85" ht="15.75" customHeight="1">
      <c r="A142" s="84"/>
      <c r="B142" s="115"/>
      <c r="C142" s="86" t="s">
        <v>363</v>
      </c>
      <c r="D142" s="87" t="s">
        <v>388</v>
      </c>
      <c r="E142" s="70"/>
      <c r="F142" s="71"/>
      <c r="G142" s="71">
        <f t="shared" si="586"/>
        <v>0</v>
      </c>
      <c r="H142" s="196">
        <v>1000000</v>
      </c>
      <c r="I142" s="72">
        <f t="shared" si="45"/>
        <v>0</v>
      </c>
      <c r="J142" s="72">
        <f t="shared" si="46"/>
        <v>0</v>
      </c>
      <c r="K142" s="88"/>
      <c r="L142" s="81"/>
      <c r="M142" s="81"/>
      <c r="N142" s="107"/>
      <c r="O142" s="77">
        <f t="shared" ref="O142:Q142" si="612">AA142+AD142+AG142+AJ142+AM142+AP142+AS142+AV142+AY142+BB142+BE142+BH142</f>
        <v>0</v>
      </c>
      <c r="P142" s="77">
        <f t="shared" si="612"/>
        <v>0</v>
      </c>
      <c r="Q142" s="77">
        <f t="shared" si="612"/>
        <v>0</v>
      </c>
      <c r="R142" s="77">
        <f t="shared" ref="R142:T142" si="613">IF(BK142=0,SUM(AA142+AD142+AG142+AJ142+AM142+AP142+AS142+AV142+AY142+BB142+BE142+BH142),BK142)</f>
        <v>0</v>
      </c>
      <c r="S142" s="77">
        <f t="shared" si="613"/>
        <v>0</v>
      </c>
      <c r="T142" s="77">
        <f t="shared" si="613"/>
        <v>0</v>
      </c>
      <c r="U142" s="79">
        <f t="shared" si="589"/>
        <v>0</v>
      </c>
      <c r="V142" s="79">
        <f t="shared" si="590"/>
        <v>0</v>
      </c>
      <c r="W142" s="79">
        <f t="shared" si="591"/>
        <v>0</v>
      </c>
      <c r="X142" s="80">
        <f t="shared" ref="X142:Y142" si="614">IF(O142&gt;0,O142/K142,0)</f>
        <v>0</v>
      </c>
      <c r="Y142" s="80">
        <f t="shared" si="614"/>
        <v>0</v>
      </c>
      <c r="Z142" s="80">
        <f t="shared" si="5"/>
        <v>0</v>
      </c>
      <c r="AA142" s="81"/>
      <c r="AB142" s="81"/>
      <c r="AC142" s="81"/>
      <c r="AD142" s="81"/>
      <c r="AE142" s="83"/>
      <c r="AF142" s="83"/>
      <c r="AG142" s="83"/>
      <c r="AH142" s="83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1"/>
      <c r="BE142" s="81"/>
      <c r="BF142" s="81"/>
      <c r="BG142" s="81"/>
      <c r="BH142" s="81"/>
      <c r="BI142" s="81"/>
      <c r="BJ142" s="81"/>
      <c r="BK142" s="82">
        <v>0</v>
      </c>
      <c r="BL142" s="82">
        <v>0</v>
      </c>
      <c r="BM142" s="82">
        <v>0</v>
      </c>
      <c r="BN142" s="81">
        <f t="shared" si="593"/>
        <v>0</v>
      </c>
      <c r="BO142" s="75">
        <f t="shared" si="594"/>
        <v>0</v>
      </c>
      <c r="BP142" s="81">
        <f t="shared" si="595"/>
        <v>0</v>
      </c>
      <c r="BQ142" s="81">
        <f t="shared" si="596"/>
        <v>0</v>
      </c>
      <c r="BR142" s="81">
        <f t="shared" si="597"/>
        <v>0</v>
      </c>
      <c r="BS142" s="81">
        <f t="shared" si="598"/>
        <v>0</v>
      </c>
      <c r="BT142" s="81">
        <f t="shared" si="599"/>
        <v>0</v>
      </c>
      <c r="BU142" s="81">
        <f t="shared" si="600"/>
        <v>0</v>
      </c>
      <c r="BV142" s="81">
        <f t="shared" si="601"/>
        <v>0</v>
      </c>
      <c r="BW142" s="81">
        <f t="shared" si="602"/>
        <v>0</v>
      </c>
      <c r="BX142" s="1"/>
      <c r="BY142" s="1"/>
      <c r="BZ142" s="1"/>
      <c r="CA142" s="1"/>
      <c r="CB142" s="1"/>
      <c r="CC142" s="1"/>
      <c r="CD142" s="1"/>
      <c r="CE142" s="1"/>
      <c r="CF142" s="1"/>
      <c r="CG142" s="1"/>
    </row>
    <row r="143" spans="1:85" ht="15.75" customHeight="1">
      <c r="A143" s="84"/>
      <c r="B143" s="115"/>
      <c r="C143" s="86" t="s">
        <v>363</v>
      </c>
      <c r="D143" s="87" t="s">
        <v>389</v>
      </c>
      <c r="E143" s="70"/>
      <c r="F143" s="71"/>
      <c r="G143" s="71">
        <f t="shared" si="586"/>
        <v>0</v>
      </c>
      <c r="H143" s="196">
        <v>1000000</v>
      </c>
      <c r="I143" s="72">
        <f t="shared" si="45"/>
        <v>0</v>
      </c>
      <c r="J143" s="72">
        <f t="shared" si="46"/>
        <v>0</v>
      </c>
      <c r="K143" s="88"/>
      <c r="L143" s="81"/>
      <c r="M143" s="81"/>
      <c r="N143" s="107"/>
      <c r="O143" s="77">
        <f t="shared" ref="O143:Q143" si="615">AA143+AD143+AG143+AJ143+AM143+AP143+AS143+AV143+AY143+BB143+BE143+BH143</f>
        <v>0</v>
      </c>
      <c r="P143" s="77">
        <f t="shared" si="615"/>
        <v>0</v>
      </c>
      <c r="Q143" s="77">
        <f t="shared" si="615"/>
        <v>0</v>
      </c>
      <c r="R143" s="77">
        <f t="shared" ref="R143:T143" si="616">IF(BK143=0,SUM(AA143+AD143+AG143+AJ143+AM143+AP143+AS143+AV143+AY143+BB143+BE143+BH143),BK143)</f>
        <v>0</v>
      </c>
      <c r="S143" s="77">
        <f t="shared" si="616"/>
        <v>0</v>
      </c>
      <c r="T143" s="77">
        <f t="shared" si="616"/>
        <v>0</v>
      </c>
      <c r="U143" s="79">
        <f t="shared" si="589"/>
        <v>0</v>
      </c>
      <c r="V143" s="79">
        <f t="shared" si="590"/>
        <v>0</v>
      </c>
      <c r="W143" s="79">
        <f t="shared" si="591"/>
        <v>0</v>
      </c>
      <c r="X143" s="80">
        <f t="shared" ref="X143:Y143" si="617">IF(O143&gt;0,O143/K143,0)</f>
        <v>0</v>
      </c>
      <c r="Y143" s="80">
        <f t="shared" si="617"/>
        <v>0</v>
      </c>
      <c r="Z143" s="80">
        <f t="shared" si="5"/>
        <v>0</v>
      </c>
      <c r="AA143" s="81"/>
      <c r="AB143" s="81"/>
      <c r="AC143" s="81"/>
      <c r="AD143" s="81"/>
      <c r="AE143" s="83"/>
      <c r="AF143" s="83"/>
      <c r="AG143" s="83"/>
      <c r="AH143" s="83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81"/>
      <c r="AZ143" s="81"/>
      <c r="BA143" s="81"/>
      <c r="BB143" s="81"/>
      <c r="BC143" s="81"/>
      <c r="BD143" s="81"/>
      <c r="BE143" s="81"/>
      <c r="BF143" s="81"/>
      <c r="BG143" s="81"/>
      <c r="BH143" s="81"/>
      <c r="BI143" s="81"/>
      <c r="BJ143" s="81"/>
      <c r="BK143" s="82">
        <v>0</v>
      </c>
      <c r="BL143" s="82">
        <v>0</v>
      </c>
      <c r="BM143" s="82">
        <v>0</v>
      </c>
      <c r="BN143" s="81">
        <f t="shared" si="593"/>
        <v>0</v>
      </c>
      <c r="BO143" s="75">
        <f t="shared" si="594"/>
        <v>0</v>
      </c>
      <c r="BP143" s="81">
        <f t="shared" si="595"/>
        <v>0</v>
      </c>
      <c r="BQ143" s="81">
        <f t="shared" si="596"/>
        <v>0</v>
      </c>
      <c r="BR143" s="81">
        <f t="shared" si="597"/>
        <v>0</v>
      </c>
      <c r="BS143" s="81">
        <f t="shared" si="598"/>
        <v>0</v>
      </c>
      <c r="BT143" s="81">
        <f t="shared" si="599"/>
        <v>0</v>
      </c>
      <c r="BU143" s="81">
        <f t="shared" si="600"/>
        <v>0</v>
      </c>
      <c r="BV143" s="81">
        <f t="shared" si="601"/>
        <v>0</v>
      </c>
      <c r="BW143" s="81">
        <f t="shared" si="602"/>
        <v>0</v>
      </c>
      <c r="BX143" s="1"/>
      <c r="BY143" s="1"/>
      <c r="BZ143" s="1"/>
      <c r="CA143" s="1"/>
      <c r="CB143" s="1"/>
      <c r="CC143" s="1"/>
      <c r="CD143" s="1"/>
      <c r="CE143" s="1"/>
      <c r="CF143" s="1"/>
      <c r="CG143" s="1"/>
    </row>
    <row r="144" spans="1:85" ht="15.75" customHeight="1">
      <c r="A144" s="84"/>
      <c r="B144" s="115"/>
      <c r="C144" s="86" t="s">
        <v>363</v>
      </c>
      <c r="D144" s="87" t="s">
        <v>390</v>
      </c>
      <c r="E144" s="70"/>
      <c r="F144" s="71"/>
      <c r="G144" s="71">
        <f t="shared" si="586"/>
        <v>0</v>
      </c>
      <c r="H144" s="196">
        <v>300000</v>
      </c>
      <c r="I144" s="72">
        <f t="shared" si="45"/>
        <v>0</v>
      </c>
      <c r="J144" s="72">
        <f t="shared" si="46"/>
        <v>0</v>
      </c>
      <c r="K144" s="88"/>
      <c r="L144" s="81"/>
      <c r="M144" s="81"/>
      <c r="N144" s="107"/>
      <c r="O144" s="77">
        <f t="shared" ref="O144:Q144" si="618">AA144+AD144+AG144+AJ144+AM144+AP144+AS144+AV144+AY144+BB144+BE144+BH144</f>
        <v>0</v>
      </c>
      <c r="P144" s="77">
        <f t="shared" si="618"/>
        <v>0</v>
      </c>
      <c r="Q144" s="77">
        <f t="shared" si="618"/>
        <v>0</v>
      </c>
      <c r="R144" s="77">
        <f t="shared" ref="R144:T144" si="619">IF(BK144=0,SUM(AA144+AD144+AG144+AJ144+AM144+AP144+AS144+AV144+AY144+BB144+BE144+BH144),BK144)</f>
        <v>0</v>
      </c>
      <c r="S144" s="77">
        <f t="shared" si="619"/>
        <v>0</v>
      </c>
      <c r="T144" s="77">
        <f t="shared" si="619"/>
        <v>0</v>
      </c>
      <c r="U144" s="79">
        <f t="shared" si="589"/>
        <v>0</v>
      </c>
      <c r="V144" s="79">
        <f t="shared" si="590"/>
        <v>0</v>
      </c>
      <c r="W144" s="79">
        <f t="shared" si="591"/>
        <v>0</v>
      </c>
      <c r="X144" s="80">
        <f t="shared" ref="X144:Y144" si="620">IF(O144&gt;0,O144/K144,0)</f>
        <v>0</v>
      </c>
      <c r="Y144" s="80">
        <f t="shared" si="620"/>
        <v>0</v>
      </c>
      <c r="Z144" s="80">
        <f t="shared" si="5"/>
        <v>0</v>
      </c>
      <c r="AA144" s="81"/>
      <c r="AB144" s="81"/>
      <c r="AC144" s="81"/>
      <c r="AD144" s="81"/>
      <c r="AE144" s="83"/>
      <c r="AF144" s="83"/>
      <c r="AG144" s="83"/>
      <c r="AH144" s="83"/>
      <c r="AI144" s="81"/>
      <c r="AJ144" s="81"/>
      <c r="AK144" s="81"/>
      <c r="AL144" s="81"/>
      <c r="AM144" s="81"/>
      <c r="AN144" s="81"/>
      <c r="AO144" s="81"/>
      <c r="AP144" s="81"/>
      <c r="AQ144" s="81"/>
      <c r="AR144" s="81"/>
      <c r="AS144" s="81"/>
      <c r="AT144" s="81"/>
      <c r="AU144" s="81"/>
      <c r="AV144" s="81"/>
      <c r="AW144" s="81"/>
      <c r="AX144" s="81"/>
      <c r="AY144" s="81"/>
      <c r="AZ144" s="81"/>
      <c r="BA144" s="81"/>
      <c r="BB144" s="81"/>
      <c r="BC144" s="81"/>
      <c r="BD144" s="81"/>
      <c r="BE144" s="81"/>
      <c r="BF144" s="81"/>
      <c r="BG144" s="81"/>
      <c r="BH144" s="81"/>
      <c r="BI144" s="81"/>
      <c r="BJ144" s="81"/>
      <c r="BK144" s="82">
        <v>0</v>
      </c>
      <c r="BL144" s="82">
        <v>0</v>
      </c>
      <c r="BM144" s="82">
        <v>0</v>
      </c>
      <c r="BN144" s="81">
        <f t="shared" si="593"/>
        <v>0</v>
      </c>
      <c r="BO144" s="75">
        <f t="shared" si="594"/>
        <v>0</v>
      </c>
      <c r="BP144" s="81">
        <f t="shared" si="595"/>
        <v>0</v>
      </c>
      <c r="BQ144" s="81">
        <f t="shared" si="596"/>
        <v>0</v>
      </c>
      <c r="BR144" s="81">
        <f t="shared" si="597"/>
        <v>0</v>
      </c>
      <c r="BS144" s="81">
        <f t="shared" si="598"/>
        <v>0</v>
      </c>
      <c r="BT144" s="81">
        <f t="shared" si="599"/>
        <v>0</v>
      </c>
      <c r="BU144" s="81">
        <f t="shared" si="600"/>
        <v>0</v>
      </c>
      <c r="BV144" s="81">
        <f t="shared" si="601"/>
        <v>0</v>
      </c>
      <c r="BW144" s="81">
        <f t="shared" si="602"/>
        <v>0</v>
      </c>
      <c r="BX144" s="1"/>
      <c r="BY144" s="1"/>
      <c r="BZ144" s="1"/>
      <c r="CA144" s="1"/>
      <c r="CB144" s="1"/>
      <c r="CC144" s="1"/>
      <c r="CD144" s="1"/>
      <c r="CE144" s="1"/>
      <c r="CF144" s="1"/>
      <c r="CG144" s="1"/>
    </row>
    <row r="145" spans="1:85" ht="15.75" customHeight="1">
      <c r="A145" s="84"/>
      <c r="B145" s="115"/>
      <c r="C145" s="86" t="s">
        <v>363</v>
      </c>
      <c r="D145" s="87" t="s">
        <v>391</v>
      </c>
      <c r="E145" s="70"/>
      <c r="F145" s="71"/>
      <c r="G145" s="71">
        <f t="shared" si="586"/>
        <v>0</v>
      </c>
      <c r="H145" s="196">
        <v>100000</v>
      </c>
      <c r="I145" s="72">
        <f t="shared" si="45"/>
        <v>0</v>
      </c>
      <c r="J145" s="72">
        <f t="shared" si="46"/>
        <v>0</v>
      </c>
      <c r="K145" s="88"/>
      <c r="L145" s="81"/>
      <c r="M145" s="81"/>
      <c r="N145" s="107"/>
      <c r="O145" s="77">
        <f t="shared" ref="O145:Q145" si="621">AA145+AD145+AG145+AJ145+AM145+AP145+AS145+AV145+AY145+BB145+BE145+BH145</f>
        <v>0</v>
      </c>
      <c r="P145" s="77">
        <f t="shared" si="621"/>
        <v>0</v>
      </c>
      <c r="Q145" s="77">
        <f t="shared" si="621"/>
        <v>0</v>
      </c>
      <c r="R145" s="77">
        <f t="shared" ref="R145:T145" si="622">IF(BK145=0,SUM(AA145+AD145+AG145+AJ145+AM145+AP145+AS145+AV145+AY145+BB145+BE145+BH145),BK145)</f>
        <v>0</v>
      </c>
      <c r="S145" s="77">
        <f t="shared" si="622"/>
        <v>0</v>
      </c>
      <c r="T145" s="77">
        <f t="shared" si="622"/>
        <v>0</v>
      </c>
      <c r="U145" s="79">
        <f t="shared" si="589"/>
        <v>0</v>
      </c>
      <c r="V145" s="79">
        <f t="shared" si="590"/>
        <v>0</v>
      </c>
      <c r="W145" s="79">
        <f t="shared" si="591"/>
        <v>0</v>
      </c>
      <c r="X145" s="80">
        <f t="shared" ref="X145:Y145" si="623">IF(O145&gt;0,O145/K145,0)</f>
        <v>0</v>
      </c>
      <c r="Y145" s="80">
        <f t="shared" si="623"/>
        <v>0</v>
      </c>
      <c r="Z145" s="80">
        <f t="shared" si="5"/>
        <v>0</v>
      </c>
      <c r="AA145" s="81"/>
      <c r="AB145" s="81"/>
      <c r="AC145" s="81"/>
      <c r="AD145" s="81"/>
      <c r="AE145" s="83"/>
      <c r="AF145" s="83"/>
      <c r="AG145" s="83"/>
      <c r="AH145" s="83"/>
      <c r="AI145" s="81"/>
      <c r="AJ145" s="81"/>
      <c r="AK145" s="81"/>
      <c r="AL145" s="81"/>
      <c r="AM145" s="81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81"/>
      <c r="AZ145" s="81"/>
      <c r="BA145" s="81"/>
      <c r="BB145" s="81"/>
      <c r="BC145" s="81"/>
      <c r="BD145" s="81"/>
      <c r="BE145" s="81"/>
      <c r="BF145" s="81"/>
      <c r="BG145" s="81"/>
      <c r="BH145" s="81"/>
      <c r="BI145" s="81"/>
      <c r="BJ145" s="81"/>
      <c r="BK145" s="82">
        <v>0</v>
      </c>
      <c r="BL145" s="82">
        <v>0</v>
      </c>
      <c r="BM145" s="82">
        <v>0</v>
      </c>
      <c r="BN145" s="81">
        <f t="shared" si="593"/>
        <v>0</v>
      </c>
      <c r="BO145" s="75">
        <f t="shared" si="594"/>
        <v>0</v>
      </c>
      <c r="BP145" s="81">
        <f t="shared" si="595"/>
        <v>0</v>
      </c>
      <c r="BQ145" s="81">
        <f t="shared" si="596"/>
        <v>0</v>
      </c>
      <c r="BR145" s="81">
        <f t="shared" si="597"/>
        <v>0</v>
      </c>
      <c r="BS145" s="81">
        <f t="shared" si="598"/>
        <v>0</v>
      </c>
      <c r="BT145" s="81">
        <f t="shared" si="599"/>
        <v>0</v>
      </c>
      <c r="BU145" s="81">
        <f t="shared" si="600"/>
        <v>0</v>
      </c>
      <c r="BV145" s="81">
        <f t="shared" si="601"/>
        <v>0</v>
      </c>
      <c r="BW145" s="81">
        <f t="shared" si="602"/>
        <v>0</v>
      </c>
      <c r="BX145" s="1"/>
      <c r="BY145" s="1"/>
      <c r="BZ145" s="1"/>
      <c r="CA145" s="1"/>
      <c r="CB145" s="1"/>
      <c r="CC145" s="1"/>
      <c r="CD145" s="1"/>
      <c r="CE145" s="1"/>
      <c r="CF145" s="1"/>
      <c r="CG145" s="1"/>
    </row>
    <row r="146" spans="1:85" ht="15.75" customHeight="1">
      <c r="A146" s="84"/>
      <c r="B146" s="115"/>
      <c r="C146" s="86" t="s">
        <v>392</v>
      </c>
      <c r="D146" s="87" t="s">
        <v>393</v>
      </c>
      <c r="E146" s="70"/>
      <c r="F146" s="71"/>
      <c r="G146" s="71">
        <f t="shared" si="586"/>
        <v>0</v>
      </c>
      <c r="H146" s="196">
        <v>300000</v>
      </c>
      <c r="I146" s="72">
        <f t="shared" si="45"/>
        <v>0</v>
      </c>
      <c r="J146" s="72">
        <f t="shared" si="46"/>
        <v>0</v>
      </c>
      <c r="K146" s="88"/>
      <c r="L146" s="81"/>
      <c r="M146" s="81"/>
      <c r="N146" s="107"/>
      <c r="O146" s="77">
        <f t="shared" ref="O146:Q146" si="624">AA146+AD146+AG146+AJ146+AM146+AP146+AS146+AV146+AY146+BB146+BE146+BH146</f>
        <v>0</v>
      </c>
      <c r="P146" s="77">
        <f t="shared" si="624"/>
        <v>0</v>
      </c>
      <c r="Q146" s="77">
        <f t="shared" si="624"/>
        <v>0</v>
      </c>
      <c r="R146" s="77">
        <f t="shared" ref="R146:T146" si="625">IF(BK146=0,SUM(AA146+AD146+AG146+AJ146+AM146+AP146+AS146+AV146+AY146+BB146+BE146+BH146),BK146)</f>
        <v>0</v>
      </c>
      <c r="S146" s="77">
        <f t="shared" si="625"/>
        <v>0</v>
      </c>
      <c r="T146" s="77">
        <f t="shared" si="625"/>
        <v>0</v>
      </c>
      <c r="U146" s="79">
        <f t="shared" si="589"/>
        <v>0</v>
      </c>
      <c r="V146" s="79">
        <f t="shared" si="590"/>
        <v>0</v>
      </c>
      <c r="W146" s="79">
        <f t="shared" si="591"/>
        <v>0</v>
      </c>
      <c r="X146" s="80">
        <f t="shared" ref="X146:Y146" si="626">IF(O146&gt;0,O146/K146,0)</f>
        <v>0</v>
      </c>
      <c r="Y146" s="80">
        <f t="shared" si="626"/>
        <v>0</v>
      </c>
      <c r="Z146" s="80">
        <f t="shared" si="5"/>
        <v>0</v>
      </c>
      <c r="AA146" s="81"/>
      <c r="AB146" s="81"/>
      <c r="AC146" s="81"/>
      <c r="AD146" s="81"/>
      <c r="AE146" s="83"/>
      <c r="AF146" s="83"/>
      <c r="AG146" s="83"/>
      <c r="AH146" s="83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1"/>
      <c r="BE146" s="81"/>
      <c r="BF146" s="81"/>
      <c r="BG146" s="81"/>
      <c r="BH146" s="81"/>
      <c r="BI146" s="81"/>
      <c r="BJ146" s="81"/>
      <c r="BK146" s="82">
        <v>0</v>
      </c>
      <c r="BL146" s="82">
        <v>0</v>
      </c>
      <c r="BM146" s="82">
        <v>0</v>
      </c>
      <c r="BN146" s="81">
        <f t="shared" si="593"/>
        <v>0</v>
      </c>
      <c r="BO146" s="75">
        <f t="shared" si="594"/>
        <v>0</v>
      </c>
      <c r="BP146" s="81">
        <f t="shared" si="595"/>
        <v>0</v>
      </c>
      <c r="BQ146" s="81">
        <f t="shared" si="596"/>
        <v>0</v>
      </c>
      <c r="BR146" s="81">
        <f t="shared" si="597"/>
        <v>0</v>
      </c>
      <c r="BS146" s="81">
        <f t="shared" si="598"/>
        <v>0</v>
      </c>
      <c r="BT146" s="81">
        <f t="shared" si="599"/>
        <v>0</v>
      </c>
      <c r="BU146" s="81">
        <f t="shared" si="600"/>
        <v>0</v>
      </c>
      <c r="BV146" s="81">
        <f t="shared" si="601"/>
        <v>0</v>
      </c>
      <c r="BW146" s="81">
        <f t="shared" si="602"/>
        <v>0</v>
      </c>
      <c r="BX146" s="1"/>
      <c r="BY146" s="1"/>
      <c r="BZ146" s="1"/>
      <c r="CA146" s="1"/>
      <c r="CB146" s="1"/>
      <c r="CC146" s="1"/>
      <c r="CD146" s="1"/>
      <c r="CE146" s="1"/>
      <c r="CF146" s="1"/>
      <c r="CG146" s="1"/>
    </row>
    <row r="147" spans="1:85" ht="15.75" customHeight="1">
      <c r="A147" s="108"/>
      <c r="B147" s="90"/>
      <c r="C147" s="91" t="s">
        <v>392</v>
      </c>
      <c r="D147" s="92" t="s">
        <v>394</v>
      </c>
      <c r="E147" s="70"/>
      <c r="F147" s="71"/>
      <c r="G147" s="71">
        <f t="shared" si="586"/>
        <v>0</v>
      </c>
      <c r="H147" s="196">
        <v>300000</v>
      </c>
      <c r="I147" s="72">
        <f t="shared" si="45"/>
        <v>0</v>
      </c>
      <c r="J147" s="72">
        <f t="shared" si="46"/>
        <v>0</v>
      </c>
      <c r="K147" s="107"/>
      <c r="L147" s="81"/>
      <c r="M147" s="81"/>
      <c r="N147" s="107"/>
      <c r="O147" s="77">
        <f t="shared" ref="O147:Q147" si="627">AA147+AD147+AG147+AJ147+AM147+AP147+AS147+AV147+AY147+BB147+BE147+BH147</f>
        <v>0</v>
      </c>
      <c r="P147" s="77">
        <f t="shared" si="627"/>
        <v>0</v>
      </c>
      <c r="Q147" s="77">
        <f t="shared" si="627"/>
        <v>0</v>
      </c>
      <c r="R147" s="77">
        <f t="shared" ref="R147:T147" si="628">IF(BK147=0,SUM(AA147+AD147+AG147+AJ147+AM147+AP147+AS147+AV147+AY147+BB147+BE147+BH147),BK147)</f>
        <v>0</v>
      </c>
      <c r="S147" s="77">
        <f t="shared" si="628"/>
        <v>0</v>
      </c>
      <c r="T147" s="77">
        <f t="shared" si="628"/>
        <v>0</v>
      </c>
      <c r="U147" s="79">
        <f t="shared" si="589"/>
        <v>0</v>
      </c>
      <c r="V147" s="79">
        <f t="shared" si="590"/>
        <v>0</v>
      </c>
      <c r="W147" s="79">
        <f t="shared" si="591"/>
        <v>0</v>
      </c>
      <c r="X147" s="80">
        <f t="shared" ref="X147:Y147" si="629">IF(O147&gt;0,O147/K147,0)</f>
        <v>0</v>
      </c>
      <c r="Y147" s="80">
        <f t="shared" si="629"/>
        <v>0</v>
      </c>
      <c r="Z147" s="80">
        <f t="shared" si="5"/>
        <v>0</v>
      </c>
      <c r="AA147" s="81"/>
      <c r="AB147" s="81"/>
      <c r="AC147" s="81"/>
      <c r="AD147" s="81"/>
      <c r="AE147" s="83"/>
      <c r="AF147" s="83"/>
      <c r="AG147" s="83"/>
      <c r="AH147" s="83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  <c r="AY147" s="81"/>
      <c r="AZ147" s="81"/>
      <c r="BA147" s="81"/>
      <c r="BB147" s="81"/>
      <c r="BC147" s="81"/>
      <c r="BD147" s="81"/>
      <c r="BE147" s="81"/>
      <c r="BF147" s="81"/>
      <c r="BG147" s="81"/>
      <c r="BH147" s="81"/>
      <c r="BI147" s="81"/>
      <c r="BJ147" s="81"/>
      <c r="BK147" s="82">
        <v>0</v>
      </c>
      <c r="BL147" s="82">
        <v>0</v>
      </c>
      <c r="BM147" s="82">
        <v>0</v>
      </c>
      <c r="BN147" s="81">
        <f t="shared" si="593"/>
        <v>0</v>
      </c>
      <c r="BO147" s="75">
        <f t="shared" si="594"/>
        <v>0</v>
      </c>
      <c r="BP147" s="81">
        <f t="shared" si="595"/>
        <v>0</v>
      </c>
      <c r="BQ147" s="81">
        <f t="shared" si="596"/>
        <v>0</v>
      </c>
      <c r="BR147" s="81">
        <f t="shared" si="597"/>
        <v>0</v>
      </c>
      <c r="BS147" s="81">
        <f t="shared" si="598"/>
        <v>0</v>
      </c>
      <c r="BT147" s="81">
        <f t="shared" si="599"/>
        <v>0</v>
      </c>
      <c r="BU147" s="81">
        <f t="shared" si="600"/>
        <v>0</v>
      </c>
      <c r="BV147" s="81">
        <f t="shared" si="601"/>
        <v>0</v>
      </c>
      <c r="BW147" s="81">
        <f t="shared" si="602"/>
        <v>0</v>
      </c>
      <c r="BX147" s="1"/>
      <c r="BY147" s="1"/>
      <c r="BZ147" s="1"/>
      <c r="CA147" s="1"/>
      <c r="CB147" s="1"/>
      <c r="CC147" s="1"/>
      <c r="CD147" s="1"/>
      <c r="CE147" s="1"/>
      <c r="CF147" s="1"/>
      <c r="CG147" s="1"/>
    </row>
    <row r="148" spans="1:85" ht="15.75">
      <c r="A148" s="109"/>
      <c r="B148" s="110"/>
      <c r="C148" s="111"/>
      <c r="D148" s="112" t="s">
        <v>365</v>
      </c>
      <c r="E148" s="58">
        <f t="shared" ref="E148:H148" si="630">SUM(E149)</f>
        <v>0</v>
      </c>
      <c r="F148" s="59">
        <f t="shared" si="630"/>
        <v>0</v>
      </c>
      <c r="G148" s="59">
        <f t="shared" si="630"/>
        <v>0</v>
      </c>
      <c r="H148" s="59">
        <f t="shared" si="630"/>
        <v>30000</v>
      </c>
      <c r="I148" s="60">
        <f t="shared" si="45"/>
        <v>0</v>
      </c>
      <c r="J148" s="60">
        <f t="shared" si="46"/>
        <v>0</v>
      </c>
      <c r="K148" s="59">
        <f t="shared" ref="K148:W148" si="631">SUM(K149)</f>
        <v>0</v>
      </c>
      <c r="L148" s="59">
        <f t="shared" si="631"/>
        <v>0</v>
      </c>
      <c r="M148" s="59">
        <f t="shared" si="631"/>
        <v>0</v>
      </c>
      <c r="N148" s="59">
        <f t="shared" si="631"/>
        <v>0</v>
      </c>
      <c r="O148" s="59">
        <f t="shared" si="631"/>
        <v>0</v>
      </c>
      <c r="P148" s="59">
        <f t="shared" si="631"/>
        <v>0</v>
      </c>
      <c r="Q148" s="59">
        <f t="shared" si="631"/>
        <v>0</v>
      </c>
      <c r="R148" s="59">
        <f t="shared" si="631"/>
        <v>0</v>
      </c>
      <c r="S148" s="59">
        <f t="shared" si="631"/>
        <v>0</v>
      </c>
      <c r="T148" s="59">
        <f t="shared" si="631"/>
        <v>0</v>
      </c>
      <c r="U148" s="59">
        <f t="shared" si="631"/>
        <v>0</v>
      </c>
      <c r="V148" s="59">
        <f t="shared" si="631"/>
        <v>0</v>
      </c>
      <c r="W148" s="59">
        <f t="shared" si="631"/>
        <v>0</v>
      </c>
      <c r="X148" s="63">
        <f t="shared" ref="X148:Y148" si="632">IF(O148&gt;0,O148/K148,0)</f>
        <v>0</v>
      </c>
      <c r="Y148" s="63">
        <f t="shared" si="632"/>
        <v>0</v>
      </c>
      <c r="Z148" s="63">
        <f t="shared" si="5"/>
        <v>0</v>
      </c>
      <c r="AA148" s="59">
        <f t="shared" ref="AA148:BW148" si="633">SUM(AA149)</f>
        <v>0</v>
      </c>
      <c r="AB148" s="59">
        <f t="shared" si="633"/>
        <v>0</v>
      </c>
      <c r="AC148" s="59">
        <f t="shared" si="633"/>
        <v>0</v>
      </c>
      <c r="AD148" s="59">
        <f t="shared" si="633"/>
        <v>0</v>
      </c>
      <c r="AE148" s="59">
        <f t="shared" si="633"/>
        <v>0</v>
      </c>
      <c r="AF148" s="59">
        <f t="shared" si="633"/>
        <v>0</v>
      </c>
      <c r="AG148" s="59">
        <f t="shared" si="633"/>
        <v>0</v>
      </c>
      <c r="AH148" s="59">
        <f t="shared" si="633"/>
        <v>0</v>
      </c>
      <c r="AI148" s="59">
        <f t="shared" si="633"/>
        <v>0</v>
      </c>
      <c r="AJ148" s="59">
        <f t="shared" si="633"/>
        <v>0</v>
      </c>
      <c r="AK148" s="59">
        <f t="shared" si="633"/>
        <v>0</v>
      </c>
      <c r="AL148" s="59">
        <f t="shared" si="633"/>
        <v>0</v>
      </c>
      <c r="AM148" s="59">
        <f t="shared" si="633"/>
        <v>0</v>
      </c>
      <c r="AN148" s="59">
        <f t="shared" si="633"/>
        <v>0</v>
      </c>
      <c r="AO148" s="59">
        <f t="shared" si="633"/>
        <v>0</v>
      </c>
      <c r="AP148" s="59">
        <f t="shared" si="633"/>
        <v>0</v>
      </c>
      <c r="AQ148" s="59">
        <f t="shared" si="633"/>
        <v>0</v>
      </c>
      <c r="AR148" s="59">
        <f t="shared" si="633"/>
        <v>0</v>
      </c>
      <c r="AS148" s="59">
        <f t="shared" si="633"/>
        <v>0</v>
      </c>
      <c r="AT148" s="59">
        <f t="shared" si="633"/>
        <v>0</v>
      </c>
      <c r="AU148" s="59">
        <f t="shared" si="633"/>
        <v>0</v>
      </c>
      <c r="AV148" s="59">
        <f t="shared" si="633"/>
        <v>0</v>
      </c>
      <c r="AW148" s="59">
        <f t="shared" si="633"/>
        <v>0</v>
      </c>
      <c r="AX148" s="59">
        <f t="shared" si="633"/>
        <v>0</v>
      </c>
      <c r="AY148" s="59">
        <f t="shared" si="633"/>
        <v>0</v>
      </c>
      <c r="AZ148" s="59">
        <f t="shared" si="633"/>
        <v>0</v>
      </c>
      <c r="BA148" s="59">
        <f t="shared" si="633"/>
        <v>0</v>
      </c>
      <c r="BB148" s="59">
        <f t="shared" si="633"/>
        <v>0</v>
      </c>
      <c r="BC148" s="59">
        <f t="shared" si="633"/>
        <v>0</v>
      </c>
      <c r="BD148" s="59">
        <f t="shared" si="633"/>
        <v>0</v>
      </c>
      <c r="BE148" s="59">
        <f t="shared" si="633"/>
        <v>0</v>
      </c>
      <c r="BF148" s="59">
        <f t="shared" si="633"/>
        <v>0</v>
      </c>
      <c r="BG148" s="59">
        <f t="shared" si="633"/>
        <v>0</v>
      </c>
      <c r="BH148" s="59">
        <f t="shared" si="633"/>
        <v>0</v>
      </c>
      <c r="BI148" s="59">
        <f t="shared" si="633"/>
        <v>0</v>
      </c>
      <c r="BJ148" s="59">
        <f t="shared" si="633"/>
        <v>0</v>
      </c>
      <c r="BK148" s="59">
        <f t="shared" si="633"/>
        <v>0</v>
      </c>
      <c r="BL148" s="59">
        <f t="shared" si="633"/>
        <v>0</v>
      </c>
      <c r="BM148" s="59">
        <f t="shared" si="633"/>
        <v>0</v>
      </c>
      <c r="BN148" s="59">
        <f t="shared" si="633"/>
        <v>0</v>
      </c>
      <c r="BO148" s="59">
        <f t="shared" si="633"/>
        <v>0</v>
      </c>
      <c r="BP148" s="59">
        <f t="shared" si="633"/>
        <v>0</v>
      </c>
      <c r="BQ148" s="59">
        <f t="shared" si="633"/>
        <v>0</v>
      </c>
      <c r="BR148" s="59">
        <f t="shared" si="633"/>
        <v>0</v>
      </c>
      <c r="BS148" s="59">
        <f t="shared" si="633"/>
        <v>0</v>
      </c>
      <c r="BT148" s="59">
        <f t="shared" si="633"/>
        <v>0</v>
      </c>
      <c r="BU148" s="59">
        <f t="shared" si="633"/>
        <v>0</v>
      </c>
      <c r="BV148" s="59">
        <f t="shared" si="633"/>
        <v>0</v>
      </c>
      <c r="BW148" s="59">
        <f t="shared" si="633"/>
        <v>0</v>
      </c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</row>
    <row r="149" spans="1:85" ht="15.75" customHeight="1">
      <c r="A149" s="84"/>
      <c r="B149" s="115"/>
      <c r="C149" s="86" t="s">
        <v>395</v>
      </c>
      <c r="D149" s="87" t="s">
        <v>396</v>
      </c>
      <c r="E149" s="70"/>
      <c r="F149" s="71"/>
      <c r="G149" s="71">
        <f>E149-F149</f>
        <v>0</v>
      </c>
      <c r="H149" s="196">
        <v>30000</v>
      </c>
      <c r="I149" s="72">
        <f t="shared" si="45"/>
        <v>0</v>
      </c>
      <c r="J149" s="72">
        <f t="shared" si="46"/>
        <v>0</v>
      </c>
      <c r="K149" s="107"/>
      <c r="L149" s="81"/>
      <c r="M149" s="81"/>
      <c r="N149" s="107"/>
      <c r="O149" s="77">
        <f t="shared" ref="O149:Q149" si="634">AA149+AD149+AG149+AJ149+AM149+AP149+AS149+AV149+AY149+BB149+BE149+BH149</f>
        <v>0</v>
      </c>
      <c r="P149" s="77">
        <f t="shared" si="634"/>
        <v>0</v>
      </c>
      <c r="Q149" s="77">
        <f t="shared" si="634"/>
        <v>0</v>
      </c>
      <c r="R149" s="77">
        <f t="shared" ref="R149:T149" si="635">IF(BK149=0,SUM(AA149+AD149+AG149+AJ149+AM149+AP149+AS149+AV149+AY149+BB149+BE149+BH149),BK149)</f>
        <v>0</v>
      </c>
      <c r="S149" s="77">
        <f t="shared" si="635"/>
        <v>0</v>
      </c>
      <c r="T149" s="77">
        <f t="shared" si="635"/>
        <v>0</v>
      </c>
      <c r="U149" s="79">
        <f>K149-O149</f>
        <v>0</v>
      </c>
      <c r="V149" s="79">
        <f>L149-M149-S149</f>
        <v>0</v>
      </c>
      <c r="W149" s="79">
        <f>N149-Q149</f>
        <v>0</v>
      </c>
      <c r="X149" s="80">
        <f t="shared" ref="X149:Y149" si="636">IF(O149&gt;0,O149/K149,0)</f>
        <v>0</v>
      </c>
      <c r="Y149" s="80">
        <f t="shared" si="636"/>
        <v>0</v>
      </c>
      <c r="Z149" s="80">
        <f t="shared" si="5"/>
        <v>0</v>
      </c>
      <c r="AA149" s="81"/>
      <c r="AB149" s="81"/>
      <c r="AC149" s="81"/>
      <c r="AD149" s="81"/>
      <c r="AE149" s="83"/>
      <c r="AF149" s="83"/>
      <c r="AG149" s="83"/>
      <c r="AH149" s="83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  <c r="AY149" s="81"/>
      <c r="AZ149" s="81"/>
      <c r="BA149" s="81"/>
      <c r="BB149" s="81"/>
      <c r="BC149" s="81"/>
      <c r="BD149" s="81"/>
      <c r="BE149" s="81"/>
      <c r="BF149" s="81"/>
      <c r="BG149" s="81"/>
      <c r="BH149" s="81"/>
      <c r="BI149" s="81"/>
      <c r="BJ149" s="81"/>
      <c r="BK149" s="82">
        <v>0</v>
      </c>
      <c r="BL149" s="82">
        <v>0</v>
      </c>
      <c r="BM149" s="82">
        <v>0</v>
      </c>
      <c r="BN149" s="81">
        <f>IF(O149-BK149&gt;0,O149-BK149,0)</f>
        <v>0</v>
      </c>
      <c r="BO149" s="75">
        <f>IF(Q149-BM149&gt;0,Q149-BM149,0)</f>
        <v>0</v>
      </c>
      <c r="BP149" s="81">
        <f>IF(BN149+BO149&gt;0,BN149+BO149,0)</f>
        <v>0</v>
      </c>
      <c r="BQ149" s="81">
        <f>IF(U149=0,0,U149)</f>
        <v>0</v>
      </c>
      <c r="BR149" s="81">
        <f>IF(W149=0,0,W149)</f>
        <v>0</v>
      </c>
      <c r="BS149" s="81">
        <f>IF(BQ149+BR149&gt;0,BQ149+BR149,0)</f>
        <v>0</v>
      </c>
      <c r="BT149" s="81">
        <f>IF(V149&gt;0,V149,0)</f>
        <v>0</v>
      </c>
      <c r="BU149" s="81">
        <f>IF(BP149=0,0,BP149)</f>
        <v>0</v>
      </c>
      <c r="BV149" s="81">
        <f>IF(BS149=0,0,BS149)</f>
        <v>0</v>
      </c>
      <c r="BW149" s="81">
        <f>IF(BP149+BT149+BV149&gt;0,BP149+BT149+BV149,0)</f>
        <v>0</v>
      </c>
      <c r="BX149" s="1"/>
      <c r="BY149" s="1"/>
      <c r="BZ149" s="1"/>
      <c r="CA149" s="1"/>
      <c r="CB149" s="1"/>
      <c r="CC149" s="1"/>
      <c r="CD149" s="1"/>
      <c r="CE149" s="1"/>
      <c r="CF149" s="1"/>
      <c r="CG149" s="1"/>
    </row>
    <row r="150" spans="1:85" ht="15.75">
      <c r="A150" s="109"/>
      <c r="B150" s="110"/>
      <c r="C150" s="111"/>
      <c r="D150" s="112" t="s">
        <v>397</v>
      </c>
      <c r="E150" s="58">
        <f t="shared" ref="E150:H150" si="637">SUM(E151+E153+E155+E158+E160+E163)</f>
        <v>0</v>
      </c>
      <c r="F150" s="58">
        <f t="shared" si="637"/>
        <v>0</v>
      </c>
      <c r="G150" s="58">
        <f t="shared" si="637"/>
        <v>0</v>
      </c>
      <c r="H150" s="58">
        <f t="shared" si="637"/>
        <v>0</v>
      </c>
      <c r="I150" s="60">
        <f t="shared" si="45"/>
        <v>0</v>
      </c>
      <c r="J150" s="60">
        <f t="shared" si="46"/>
        <v>0</v>
      </c>
      <c r="K150" s="58">
        <f t="shared" ref="K150:W150" si="638">SUM(K151+K153+K155+K158+K160+K163)</f>
        <v>0</v>
      </c>
      <c r="L150" s="58">
        <f t="shared" si="638"/>
        <v>0</v>
      </c>
      <c r="M150" s="58">
        <f t="shared" si="638"/>
        <v>0</v>
      </c>
      <c r="N150" s="58">
        <f t="shared" si="638"/>
        <v>250958.1</v>
      </c>
      <c r="O150" s="58">
        <f t="shared" si="638"/>
        <v>0</v>
      </c>
      <c r="P150" s="58">
        <f t="shared" si="638"/>
        <v>0</v>
      </c>
      <c r="Q150" s="58">
        <f t="shared" si="638"/>
        <v>132170.1</v>
      </c>
      <c r="R150" s="58">
        <f t="shared" si="638"/>
        <v>0</v>
      </c>
      <c r="S150" s="58">
        <f t="shared" si="638"/>
        <v>0</v>
      </c>
      <c r="T150" s="58">
        <f t="shared" si="638"/>
        <v>116652.64</v>
      </c>
      <c r="U150" s="58">
        <f t="shared" si="638"/>
        <v>0</v>
      </c>
      <c r="V150" s="58">
        <f t="shared" si="638"/>
        <v>0</v>
      </c>
      <c r="W150" s="58">
        <f t="shared" si="638"/>
        <v>118788</v>
      </c>
      <c r="X150" s="63">
        <f t="shared" ref="X150:Y150" si="639">IF(O150&gt;0,O150/K150,0)</f>
        <v>0</v>
      </c>
      <c r="Y150" s="63">
        <f t="shared" si="639"/>
        <v>0</v>
      </c>
      <c r="Z150" s="63">
        <f t="shared" si="5"/>
        <v>0.52666202047274024</v>
      </c>
      <c r="AA150" s="58">
        <f t="shared" ref="AA150:BW150" si="640">SUM(AA151+AA153+AA155+AA158+AA160+AA163)</f>
        <v>0</v>
      </c>
      <c r="AB150" s="58">
        <f t="shared" si="640"/>
        <v>0</v>
      </c>
      <c r="AC150" s="58">
        <f t="shared" si="640"/>
        <v>0</v>
      </c>
      <c r="AD150" s="58">
        <f t="shared" si="640"/>
        <v>0</v>
      </c>
      <c r="AE150" s="58">
        <f t="shared" si="640"/>
        <v>0</v>
      </c>
      <c r="AF150" s="58">
        <f t="shared" si="640"/>
        <v>0</v>
      </c>
      <c r="AG150" s="58">
        <f t="shared" si="640"/>
        <v>0</v>
      </c>
      <c r="AH150" s="58">
        <f t="shared" si="640"/>
        <v>0</v>
      </c>
      <c r="AI150" s="58">
        <f t="shared" si="640"/>
        <v>0</v>
      </c>
      <c r="AJ150" s="58">
        <f t="shared" si="640"/>
        <v>0</v>
      </c>
      <c r="AK150" s="58">
        <f t="shared" si="640"/>
        <v>0</v>
      </c>
      <c r="AL150" s="58">
        <f t="shared" si="640"/>
        <v>0</v>
      </c>
      <c r="AM150" s="58">
        <f t="shared" si="640"/>
        <v>0</v>
      </c>
      <c r="AN150" s="58">
        <f t="shared" si="640"/>
        <v>0</v>
      </c>
      <c r="AO150" s="58">
        <f t="shared" si="640"/>
        <v>0</v>
      </c>
      <c r="AP150" s="58">
        <f t="shared" si="640"/>
        <v>0</v>
      </c>
      <c r="AQ150" s="58">
        <f t="shared" si="640"/>
        <v>0</v>
      </c>
      <c r="AR150" s="58">
        <f t="shared" si="640"/>
        <v>0</v>
      </c>
      <c r="AS150" s="58">
        <f t="shared" si="640"/>
        <v>0</v>
      </c>
      <c r="AT150" s="58">
        <f t="shared" si="640"/>
        <v>0</v>
      </c>
      <c r="AU150" s="58">
        <f t="shared" si="640"/>
        <v>0</v>
      </c>
      <c r="AV150" s="58">
        <f t="shared" si="640"/>
        <v>0</v>
      </c>
      <c r="AW150" s="58">
        <f t="shared" si="640"/>
        <v>0</v>
      </c>
      <c r="AX150" s="58">
        <f t="shared" si="640"/>
        <v>0</v>
      </c>
      <c r="AY150" s="58">
        <f t="shared" si="640"/>
        <v>0</v>
      </c>
      <c r="AZ150" s="58">
        <f t="shared" si="640"/>
        <v>0</v>
      </c>
      <c r="BA150" s="58">
        <f t="shared" si="640"/>
        <v>0</v>
      </c>
      <c r="BB150" s="58">
        <f t="shared" si="640"/>
        <v>0</v>
      </c>
      <c r="BC150" s="58">
        <f t="shared" si="640"/>
        <v>0</v>
      </c>
      <c r="BD150" s="58">
        <f t="shared" si="640"/>
        <v>0</v>
      </c>
      <c r="BE150" s="58">
        <f t="shared" si="640"/>
        <v>0</v>
      </c>
      <c r="BF150" s="58">
        <f t="shared" si="640"/>
        <v>0</v>
      </c>
      <c r="BG150" s="58">
        <f t="shared" si="640"/>
        <v>50272.959999999999</v>
      </c>
      <c r="BH150" s="58">
        <f t="shared" si="640"/>
        <v>0</v>
      </c>
      <c r="BI150" s="58">
        <f t="shared" si="640"/>
        <v>0</v>
      </c>
      <c r="BJ150" s="58">
        <f t="shared" si="640"/>
        <v>81897.14</v>
      </c>
      <c r="BK150" s="58">
        <f t="shared" si="640"/>
        <v>0</v>
      </c>
      <c r="BL150" s="58">
        <f t="shared" si="640"/>
        <v>0</v>
      </c>
      <c r="BM150" s="58">
        <f t="shared" si="640"/>
        <v>116652.64</v>
      </c>
      <c r="BN150" s="58">
        <f t="shared" si="640"/>
        <v>0</v>
      </c>
      <c r="BO150" s="58">
        <f t="shared" si="640"/>
        <v>15517.46</v>
      </c>
      <c r="BP150" s="58">
        <f t="shared" si="640"/>
        <v>15517.46</v>
      </c>
      <c r="BQ150" s="58">
        <f t="shared" si="640"/>
        <v>0</v>
      </c>
      <c r="BR150" s="58">
        <f t="shared" si="640"/>
        <v>118788</v>
      </c>
      <c r="BS150" s="58">
        <f t="shared" si="640"/>
        <v>118788</v>
      </c>
      <c r="BT150" s="58">
        <f t="shared" si="640"/>
        <v>0</v>
      </c>
      <c r="BU150" s="58">
        <f t="shared" si="640"/>
        <v>15517.46</v>
      </c>
      <c r="BV150" s="58">
        <f t="shared" si="640"/>
        <v>118788</v>
      </c>
      <c r="BW150" s="58">
        <f t="shared" si="640"/>
        <v>134305.46000000002</v>
      </c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</row>
    <row r="151" spans="1:85" ht="15.75">
      <c r="A151" s="198"/>
      <c r="B151" s="199"/>
      <c r="C151" s="200"/>
      <c r="D151" s="201" t="s">
        <v>116</v>
      </c>
      <c r="E151" s="202">
        <f t="shared" ref="E151:H151" si="641">SUM(E152)</f>
        <v>0</v>
      </c>
      <c r="F151" s="203">
        <f t="shared" si="641"/>
        <v>0</v>
      </c>
      <c r="G151" s="203">
        <f t="shared" si="641"/>
        <v>0</v>
      </c>
      <c r="H151" s="203">
        <f t="shared" si="641"/>
        <v>0</v>
      </c>
      <c r="I151" s="204">
        <f t="shared" si="45"/>
        <v>0</v>
      </c>
      <c r="J151" s="204">
        <f t="shared" si="46"/>
        <v>0</v>
      </c>
      <c r="K151" s="203">
        <f t="shared" ref="K151:W151" si="642">SUM(K152)</f>
        <v>0</v>
      </c>
      <c r="L151" s="203">
        <f t="shared" si="642"/>
        <v>0</v>
      </c>
      <c r="M151" s="203">
        <f t="shared" si="642"/>
        <v>0</v>
      </c>
      <c r="N151" s="203">
        <f t="shared" si="642"/>
        <v>1918.9199999999998</v>
      </c>
      <c r="O151" s="203">
        <f t="shared" si="642"/>
        <v>0</v>
      </c>
      <c r="P151" s="203">
        <f t="shared" si="642"/>
        <v>0</v>
      </c>
      <c r="Q151" s="203">
        <f t="shared" si="642"/>
        <v>1918.92</v>
      </c>
      <c r="R151" s="203">
        <f t="shared" si="642"/>
        <v>0</v>
      </c>
      <c r="S151" s="203">
        <f t="shared" si="642"/>
        <v>0</v>
      </c>
      <c r="T151" s="203">
        <f t="shared" si="642"/>
        <v>1918.92</v>
      </c>
      <c r="U151" s="203">
        <f t="shared" si="642"/>
        <v>0</v>
      </c>
      <c r="V151" s="203">
        <f t="shared" si="642"/>
        <v>0</v>
      </c>
      <c r="W151" s="203">
        <f t="shared" si="642"/>
        <v>0</v>
      </c>
      <c r="X151" s="205">
        <f t="shared" ref="X151:Y151" si="643">IF(O151&gt;0,O151/K151,0)</f>
        <v>0</v>
      </c>
      <c r="Y151" s="205">
        <f t="shared" si="643"/>
        <v>0</v>
      </c>
      <c r="Z151" s="205">
        <f t="shared" si="5"/>
        <v>1.0000000000000002</v>
      </c>
      <c r="AA151" s="203">
        <f t="shared" ref="AA151:BW151" si="644">SUM(AA152)</f>
        <v>0</v>
      </c>
      <c r="AB151" s="203">
        <f t="shared" si="644"/>
        <v>0</v>
      </c>
      <c r="AC151" s="203">
        <f t="shared" si="644"/>
        <v>0</v>
      </c>
      <c r="AD151" s="203">
        <f t="shared" si="644"/>
        <v>0</v>
      </c>
      <c r="AE151" s="203">
        <f t="shared" si="644"/>
        <v>0</v>
      </c>
      <c r="AF151" s="203">
        <f t="shared" si="644"/>
        <v>0</v>
      </c>
      <c r="AG151" s="203">
        <f t="shared" si="644"/>
        <v>0</v>
      </c>
      <c r="AH151" s="203">
        <f t="shared" si="644"/>
        <v>0</v>
      </c>
      <c r="AI151" s="203">
        <f t="shared" si="644"/>
        <v>0</v>
      </c>
      <c r="AJ151" s="203">
        <f t="shared" si="644"/>
        <v>0</v>
      </c>
      <c r="AK151" s="203">
        <f t="shared" si="644"/>
        <v>0</v>
      </c>
      <c r="AL151" s="203">
        <f t="shared" si="644"/>
        <v>0</v>
      </c>
      <c r="AM151" s="203">
        <f t="shared" si="644"/>
        <v>0</v>
      </c>
      <c r="AN151" s="203">
        <f t="shared" si="644"/>
        <v>0</v>
      </c>
      <c r="AO151" s="203">
        <f t="shared" si="644"/>
        <v>0</v>
      </c>
      <c r="AP151" s="203">
        <f t="shared" si="644"/>
        <v>0</v>
      </c>
      <c r="AQ151" s="203">
        <f t="shared" si="644"/>
        <v>0</v>
      </c>
      <c r="AR151" s="203">
        <f t="shared" si="644"/>
        <v>0</v>
      </c>
      <c r="AS151" s="203">
        <f t="shared" si="644"/>
        <v>0</v>
      </c>
      <c r="AT151" s="203">
        <f t="shared" si="644"/>
        <v>0</v>
      </c>
      <c r="AU151" s="203">
        <f t="shared" si="644"/>
        <v>0</v>
      </c>
      <c r="AV151" s="203">
        <f t="shared" si="644"/>
        <v>0</v>
      </c>
      <c r="AW151" s="203">
        <f t="shared" si="644"/>
        <v>0</v>
      </c>
      <c r="AX151" s="203">
        <f t="shared" si="644"/>
        <v>0</v>
      </c>
      <c r="AY151" s="203">
        <f t="shared" si="644"/>
        <v>0</v>
      </c>
      <c r="AZ151" s="203">
        <f t="shared" si="644"/>
        <v>0</v>
      </c>
      <c r="BA151" s="203">
        <f t="shared" si="644"/>
        <v>0</v>
      </c>
      <c r="BB151" s="203">
        <f t="shared" si="644"/>
        <v>0</v>
      </c>
      <c r="BC151" s="203">
        <f t="shared" si="644"/>
        <v>0</v>
      </c>
      <c r="BD151" s="203">
        <f t="shared" si="644"/>
        <v>0</v>
      </c>
      <c r="BE151" s="203">
        <f t="shared" si="644"/>
        <v>0</v>
      </c>
      <c r="BF151" s="203">
        <f t="shared" si="644"/>
        <v>0</v>
      </c>
      <c r="BG151" s="203">
        <f t="shared" si="644"/>
        <v>0</v>
      </c>
      <c r="BH151" s="203">
        <f t="shared" si="644"/>
        <v>0</v>
      </c>
      <c r="BI151" s="203">
        <f t="shared" si="644"/>
        <v>0</v>
      </c>
      <c r="BJ151" s="203">
        <f t="shared" si="644"/>
        <v>1918.92</v>
      </c>
      <c r="BK151" s="203">
        <f t="shared" si="644"/>
        <v>0</v>
      </c>
      <c r="BL151" s="203">
        <f t="shared" si="644"/>
        <v>0</v>
      </c>
      <c r="BM151" s="203">
        <f t="shared" si="644"/>
        <v>1918.92</v>
      </c>
      <c r="BN151" s="203">
        <f t="shared" si="644"/>
        <v>0</v>
      </c>
      <c r="BO151" s="203">
        <f t="shared" si="644"/>
        <v>0</v>
      </c>
      <c r="BP151" s="203">
        <f t="shared" si="644"/>
        <v>0</v>
      </c>
      <c r="BQ151" s="203">
        <f t="shared" si="644"/>
        <v>0</v>
      </c>
      <c r="BR151" s="203">
        <f t="shared" si="644"/>
        <v>0</v>
      </c>
      <c r="BS151" s="203">
        <f t="shared" si="644"/>
        <v>0</v>
      </c>
      <c r="BT151" s="203">
        <f t="shared" si="644"/>
        <v>0</v>
      </c>
      <c r="BU151" s="203">
        <f t="shared" si="644"/>
        <v>0</v>
      </c>
      <c r="BV151" s="203">
        <f t="shared" si="644"/>
        <v>0</v>
      </c>
      <c r="BW151" s="203">
        <f t="shared" si="644"/>
        <v>0</v>
      </c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</row>
    <row r="152" spans="1:85" ht="15.75" customHeight="1">
      <c r="A152" s="125" t="s">
        <v>398</v>
      </c>
      <c r="B152" s="115"/>
      <c r="C152" s="86" t="s">
        <v>118</v>
      </c>
      <c r="D152" s="126" t="s">
        <v>399</v>
      </c>
      <c r="E152" s="70"/>
      <c r="F152" s="71"/>
      <c r="G152" s="71">
        <f>E152-F152</f>
        <v>0</v>
      </c>
      <c r="H152" s="70"/>
      <c r="I152" s="72">
        <f t="shared" si="45"/>
        <v>0</v>
      </c>
      <c r="J152" s="72">
        <f t="shared" si="46"/>
        <v>0</v>
      </c>
      <c r="K152" s="73"/>
      <c r="L152" s="81"/>
      <c r="M152" s="81"/>
      <c r="N152" s="88">
        <f>2000-403.15-129.28+20.82+430.53</f>
        <v>1918.9199999999998</v>
      </c>
      <c r="O152" s="77">
        <f t="shared" ref="O152:Q152" si="645">AA152+AD152+AG152+AJ152+AM152+AP152+AS152+AV152+AY152+BB152+BE152+BH152</f>
        <v>0</v>
      </c>
      <c r="P152" s="77">
        <f t="shared" si="645"/>
        <v>0</v>
      </c>
      <c r="Q152" s="77">
        <f t="shared" si="645"/>
        <v>1918.92</v>
      </c>
      <c r="R152" s="77">
        <f t="shared" ref="R152:T152" si="646">IF(BK152=0,SUM(AA152+AD152+AG152+AJ152+AM152+AP152+AS152+AV152+AY152+BB152+BE152+BH152),BK152)</f>
        <v>0</v>
      </c>
      <c r="S152" s="77">
        <f t="shared" si="646"/>
        <v>0</v>
      </c>
      <c r="T152" s="77">
        <f t="shared" si="646"/>
        <v>1918.92</v>
      </c>
      <c r="U152" s="78">
        <f>K152-O152</f>
        <v>0</v>
      </c>
      <c r="V152" s="79">
        <f>L152-M152-S152</f>
        <v>0</v>
      </c>
      <c r="W152" s="79">
        <f>N152-Q152</f>
        <v>0</v>
      </c>
      <c r="X152" s="80">
        <f t="shared" ref="X152:Y152" si="647">IF(O152&gt;0,O152/K152,0)</f>
        <v>0</v>
      </c>
      <c r="Y152" s="80">
        <f t="shared" si="647"/>
        <v>0</v>
      </c>
      <c r="Z152" s="80">
        <f t="shared" si="5"/>
        <v>1.0000000000000002</v>
      </c>
      <c r="AA152" s="81"/>
      <c r="AB152" s="81"/>
      <c r="AC152" s="81"/>
      <c r="AD152" s="82"/>
      <c r="AE152" s="83"/>
      <c r="AF152" s="83"/>
      <c r="AG152" s="83"/>
      <c r="AH152" s="83"/>
      <c r="AI152" s="81"/>
      <c r="AJ152" s="81"/>
      <c r="AK152" s="81"/>
      <c r="AL152" s="81"/>
      <c r="AM152" s="81"/>
      <c r="AN152" s="81"/>
      <c r="AO152" s="81"/>
      <c r="AP152" s="82"/>
      <c r="AQ152" s="81"/>
      <c r="AR152" s="81"/>
      <c r="AS152" s="81"/>
      <c r="AT152" s="81"/>
      <c r="AU152" s="81"/>
      <c r="AV152" s="82"/>
      <c r="AW152" s="81"/>
      <c r="AX152" s="81"/>
      <c r="AY152" s="82"/>
      <c r="AZ152" s="81"/>
      <c r="BA152" s="81"/>
      <c r="BB152" s="81"/>
      <c r="BC152" s="81"/>
      <c r="BD152" s="81"/>
      <c r="BE152" s="81"/>
      <c r="BF152" s="81"/>
      <c r="BG152" s="81"/>
      <c r="BH152" s="81"/>
      <c r="BI152" s="81"/>
      <c r="BJ152" s="81">
        <f>129.63+409.71+150.45+(129.63*5)+150.45+430.53</f>
        <v>1918.92</v>
      </c>
      <c r="BK152" s="82">
        <v>0</v>
      </c>
      <c r="BL152" s="82">
        <v>0</v>
      </c>
      <c r="BM152" s="82">
        <v>1918.92</v>
      </c>
      <c r="BN152" s="81">
        <f>IF(O152-BK152&gt;0,O152-BK152,0)</f>
        <v>0</v>
      </c>
      <c r="BO152" s="75">
        <f>IF(Q152-BM152&gt;0,Q152-BM152,0)</f>
        <v>0</v>
      </c>
      <c r="BP152" s="81">
        <f>IF(BN152+BO152&gt;0,BN152+BO152,0)</f>
        <v>0</v>
      </c>
      <c r="BQ152" s="81">
        <f>IF(U152=0,0,U152)</f>
        <v>0</v>
      </c>
      <c r="BR152" s="81">
        <f>IF(W152=0,0,W152)</f>
        <v>0</v>
      </c>
      <c r="BS152" s="81">
        <f>IF(BQ152+BR152&gt;0,BQ152+BR152,0)</f>
        <v>0</v>
      </c>
      <c r="BT152" s="81">
        <f>IF(V152&gt;0,V152,0)</f>
        <v>0</v>
      </c>
      <c r="BU152" s="81">
        <f>IF(BP152=0,0,BP152)</f>
        <v>0</v>
      </c>
      <c r="BV152" s="81">
        <f>IF(BS152=0,0,BS152)</f>
        <v>0</v>
      </c>
      <c r="BW152" s="81">
        <f>IF(BP152+BT152+BV152&gt;0,BP152+BT152+BV152,0)</f>
        <v>0</v>
      </c>
      <c r="BX152" s="1"/>
      <c r="BY152" s="1"/>
      <c r="BZ152" s="1"/>
      <c r="CA152" s="1"/>
      <c r="CB152" s="1"/>
      <c r="CC152" s="1"/>
      <c r="CD152" s="1"/>
      <c r="CE152" s="1"/>
      <c r="CF152" s="1"/>
      <c r="CG152" s="1"/>
    </row>
    <row r="153" spans="1:85" ht="15.75">
      <c r="A153" s="206"/>
      <c r="B153" s="207"/>
      <c r="C153" s="208"/>
      <c r="D153" s="209" t="s">
        <v>128</v>
      </c>
      <c r="E153" s="202">
        <f t="shared" ref="E153:H153" si="648">SUM(E154)</f>
        <v>0</v>
      </c>
      <c r="F153" s="202">
        <f t="shared" si="648"/>
        <v>0</v>
      </c>
      <c r="G153" s="202">
        <f t="shared" si="648"/>
        <v>0</v>
      </c>
      <c r="H153" s="202">
        <f t="shared" si="648"/>
        <v>0</v>
      </c>
      <c r="I153" s="204">
        <f t="shared" si="45"/>
        <v>0</v>
      </c>
      <c r="J153" s="204">
        <f t="shared" si="46"/>
        <v>0</v>
      </c>
      <c r="K153" s="202">
        <f t="shared" ref="K153:W153" si="649">SUM(K154)</f>
        <v>0</v>
      </c>
      <c r="L153" s="202">
        <f t="shared" si="649"/>
        <v>0</v>
      </c>
      <c r="M153" s="202">
        <f t="shared" si="649"/>
        <v>0</v>
      </c>
      <c r="N153" s="202">
        <f t="shared" si="649"/>
        <v>20000</v>
      </c>
      <c r="O153" s="202">
        <f t="shared" si="649"/>
        <v>0</v>
      </c>
      <c r="P153" s="202">
        <f t="shared" si="649"/>
        <v>0</v>
      </c>
      <c r="Q153" s="202">
        <f t="shared" si="649"/>
        <v>12522.689999999999</v>
      </c>
      <c r="R153" s="202">
        <f t="shared" si="649"/>
        <v>0</v>
      </c>
      <c r="S153" s="202">
        <f t="shared" si="649"/>
        <v>0</v>
      </c>
      <c r="T153" s="202">
        <f t="shared" si="649"/>
        <v>12522.69</v>
      </c>
      <c r="U153" s="202">
        <f t="shared" si="649"/>
        <v>0</v>
      </c>
      <c r="V153" s="202">
        <f t="shared" si="649"/>
        <v>0</v>
      </c>
      <c r="W153" s="202">
        <f t="shared" si="649"/>
        <v>7477.3100000000013</v>
      </c>
      <c r="X153" s="205">
        <f t="shared" ref="X153:Y153" si="650">IF(O153&gt;0,O153/K153,0)</f>
        <v>0</v>
      </c>
      <c r="Y153" s="205">
        <f t="shared" si="650"/>
        <v>0</v>
      </c>
      <c r="Z153" s="205">
        <f t="shared" si="5"/>
        <v>0.62613449999999993</v>
      </c>
      <c r="AA153" s="202">
        <f t="shared" ref="AA153:BW153" si="651">SUM(AA154)</f>
        <v>0</v>
      </c>
      <c r="AB153" s="202">
        <f t="shared" si="651"/>
        <v>0</v>
      </c>
      <c r="AC153" s="202">
        <f t="shared" si="651"/>
        <v>0</v>
      </c>
      <c r="AD153" s="202">
        <f t="shared" si="651"/>
        <v>0</v>
      </c>
      <c r="AE153" s="202">
        <f t="shared" si="651"/>
        <v>0</v>
      </c>
      <c r="AF153" s="202">
        <f t="shared" si="651"/>
        <v>0</v>
      </c>
      <c r="AG153" s="202">
        <f t="shared" si="651"/>
        <v>0</v>
      </c>
      <c r="AH153" s="202">
        <f t="shared" si="651"/>
        <v>0</v>
      </c>
      <c r="AI153" s="202">
        <f t="shared" si="651"/>
        <v>0</v>
      </c>
      <c r="AJ153" s="202">
        <f t="shared" si="651"/>
        <v>0</v>
      </c>
      <c r="AK153" s="202">
        <f t="shared" si="651"/>
        <v>0</v>
      </c>
      <c r="AL153" s="202">
        <f t="shared" si="651"/>
        <v>0</v>
      </c>
      <c r="AM153" s="202">
        <f t="shared" si="651"/>
        <v>0</v>
      </c>
      <c r="AN153" s="202">
        <f t="shared" si="651"/>
        <v>0</v>
      </c>
      <c r="AO153" s="202">
        <f t="shared" si="651"/>
        <v>0</v>
      </c>
      <c r="AP153" s="202">
        <f t="shared" si="651"/>
        <v>0</v>
      </c>
      <c r="AQ153" s="202">
        <f t="shared" si="651"/>
        <v>0</v>
      </c>
      <c r="AR153" s="202">
        <f t="shared" si="651"/>
        <v>0</v>
      </c>
      <c r="AS153" s="202">
        <f t="shared" si="651"/>
        <v>0</v>
      </c>
      <c r="AT153" s="202">
        <f t="shared" si="651"/>
        <v>0</v>
      </c>
      <c r="AU153" s="202">
        <f t="shared" si="651"/>
        <v>0</v>
      </c>
      <c r="AV153" s="202">
        <f t="shared" si="651"/>
        <v>0</v>
      </c>
      <c r="AW153" s="202">
        <f t="shared" si="651"/>
        <v>0</v>
      </c>
      <c r="AX153" s="202">
        <f t="shared" si="651"/>
        <v>0</v>
      </c>
      <c r="AY153" s="202">
        <f t="shared" si="651"/>
        <v>0</v>
      </c>
      <c r="AZ153" s="202">
        <f t="shared" si="651"/>
        <v>0</v>
      </c>
      <c r="BA153" s="202">
        <f t="shared" si="651"/>
        <v>0</v>
      </c>
      <c r="BB153" s="202">
        <f t="shared" si="651"/>
        <v>0</v>
      </c>
      <c r="BC153" s="202">
        <f t="shared" si="651"/>
        <v>0</v>
      </c>
      <c r="BD153" s="202">
        <f t="shared" si="651"/>
        <v>0</v>
      </c>
      <c r="BE153" s="202">
        <f t="shared" si="651"/>
        <v>0</v>
      </c>
      <c r="BF153" s="202">
        <f t="shared" si="651"/>
        <v>0</v>
      </c>
      <c r="BG153" s="202">
        <f t="shared" si="651"/>
        <v>4099.71</v>
      </c>
      <c r="BH153" s="202">
        <f t="shared" si="651"/>
        <v>0</v>
      </c>
      <c r="BI153" s="202">
        <f t="shared" si="651"/>
        <v>0</v>
      </c>
      <c r="BJ153" s="202">
        <f t="shared" si="651"/>
        <v>8422.98</v>
      </c>
      <c r="BK153" s="202">
        <f t="shared" si="651"/>
        <v>0</v>
      </c>
      <c r="BL153" s="202">
        <f t="shared" si="651"/>
        <v>0</v>
      </c>
      <c r="BM153" s="202">
        <f t="shared" si="651"/>
        <v>12522.69</v>
      </c>
      <c r="BN153" s="202">
        <f t="shared" si="651"/>
        <v>0</v>
      </c>
      <c r="BO153" s="202">
        <f t="shared" si="651"/>
        <v>0</v>
      </c>
      <c r="BP153" s="202">
        <f t="shared" si="651"/>
        <v>0</v>
      </c>
      <c r="BQ153" s="202">
        <f t="shared" si="651"/>
        <v>0</v>
      </c>
      <c r="BR153" s="202">
        <f t="shared" si="651"/>
        <v>7477.3100000000013</v>
      </c>
      <c r="BS153" s="202">
        <f t="shared" si="651"/>
        <v>7477.3100000000013</v>
      </c>
      <c r="BT153" s="202">
        <f t="shared" si="651"/>
        <v>0</v>
      </c>
      <c r="BU153" s="202">
        <f t="shared" si="651"/>
        <v>0</v>
      </c>
      <c r="BV153" s="202">
        <f t="shared" si="651"/>
        <v>7477.3100000000013</v>
      </c>
      <c r="BW153" s="202">
        <f t="shared" si="651"/>
        <v>7477.3100000000013</v>
      </c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</row>
    <row r="154" spans="1:85" ht="15.75" customHeight="1">
      <c r="A154" s="125" t="s">
        <v>400</v>
      </c>
      <c r="B154" s="115"/>
      <c r="C154" s="129" t="s">
        <v>169</v>
      </c>
      <c r="D154" s="126" t="s">
        <v>401</v>
      </c>
      <c r="E154" s="70"/>
      <c r="F154" s="71"/>
      <c r="G154" s="71">
        <f>E154-F154</f>
        <v>0</v>
      </c>
      <c r="H154" s="70"/>
      <c r="I154" s="72">
        <f t="shared" si="45"/>
        <v>0</v>
      </c>
      <c r="J154" s="72">
        <f t="shared" si="46"/>
        <v>0</v>
      </c>
      <c r="K154" s="73"/>
      <c r="L154" s="81"/>
      <c r="M154" s="81"/>
      <c r="N154" s="73">
        <v>20000</v>
      </c>
      <c r="O154" s="77">
        <f t="shared" ref="O154:Q154" si="652">AA154+AD154+AG154+AJ154+AM154+AP154+AS154+AV154+AY154+BB154+BE154+BH154</f>
        <v>0</v>
      </c>
      <c r="P154" s="77">
        <f t="shared" si="652"/>
        <v>0</v>
      </c>
      <c r="Q154" s="77">
        <f t="shared" si="652"/>
        <v>12522.689999999999</v>
      </c>
      <c r="R154" s="77">
        <f t="shared" ref="R154:T154" si="653">IF(BK154=0,SUM(AA154+AD154+AG154+AJ154+AM154+AP154+AS154+AV154+AY154+BB154+BE154+BH154),BK154)</f>
        <v>0</v>
      </c>
      <c r="S154" s="77">
        <f t="shared" si="653"/>
        <v>0</v>
      </c>
      <c r="T154" s="77">
        <f t="shared" si="653"/>
        <v>12522.69</v>
      </c>
      <c r="U154" s="79">
        <f>K154-O154</f>
        <v>0</v>
      </c>
      <c r="V154" s="79">
        <f>L154-M154-S154</f>
        <v>0</v>
      </c>
      <c r="W154" s="78">
        <f>N154-Q154</f>
        <v>7477.3100000000013</v>
      </c>
      <c r="X154" s="80">
        <f t="shared" ref="X154:Y154" si="654">IF(O154&gt;0,O154/K154,0)</f>
        <v>0</v>
      </c>
      <c r="Y154" s="80">
        <f t="shared" si="654"/>
        <v>0</v>
      </c>
      <c r="Z154" s="80">
        <f t="shared" si="5"/>
        <v>0.62613449999999993</v>
      </c>
      <c r="AA154" s="81"/>
      <c r="AB154" s="81"/>
      <c r="AC154" s="81"/>
      <c r="AD154" s="81"/>
      <c r="AE154" s="83"/>
      <c r="AF154" s="83"/>
      <c r="AG154" s="83"/>
      <c r="AH154" s="83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1"/>
      <c r="BE154" s="81"/>
      <c r="BF154" s="81"/>
      <c r="BG154" s="81">
        <f>2301.94+1797.77</f>
        <v>4099.71</v>
      </c>
      <c r="BH154" s="81"/>
      <c r="BI154" s="81"/>
      <c r="BJ154" s="81">
        <f>8422.98</f>
        <v>8422.98</v>
      </c>
      <c r="BK154" s="82">
        <v>0</v>
      </c>
      <c r="BL154" s="82">
        <v>0</v>
      </c>
      <c r="BM154" s="82">
        <v>12522.69</v>
      </c>
      <c r="BN154" s="81">
        <f>IF(O154-BK154&gt;0,O154-BK154,0)</f>
        <v>0</v>
      </c>
      <c r="BO154" s="75">
        <f>IF(Q154-BM154&gt;0,Q154-BM154,0)</f>
        <v>0</v>
      </c>
      <c r="BP154" s="81">
        <f>IF(BN154+BO154&gt;0,BN154+BO154,0)</f>
        <v>0</v>
      </c>
      <c r="BQ154" s="81">
        <f>IF(U154=0,0,U154)</f>
        <v>0</v>
      </c>
      <c r="BR154" s="81">
        <f>IF(W154=0,0,W154)</f>
        <v>7477.3100000000013</v>
      </c>
      <c r="BS154" s="81">
        <f>IF(BQ154+BR154&gt;0,BQ154+BR154,0)</f>
        <v>7477.3100000000013</v>
      </c>
      <c r="BT154" s="81">
        <f>IF(V154&gt;0,V154,0)</f>
        <v>0</v>
      </c>
      <c r="BU154" s="81">
        <f>IF(BP154=0,0,BP154)</f>
        <v>0</v>
      </c>
      <c r="BV154" s="81">
        <f>IF(BS154=0,0,BS154)</f>
        <v>7477.3100000000013</v>
      </c>
      <c r="BW154" s="81">
        <f>IF(BP154+BT154+BV154&gt;0,BP154+BT154+BV154,0)</f>
        <v>7477.3100000000013</v>
      </c>
      <c r="BX154" s="1"/>
      <c r="BY154" s="1"/>
      <c r="BZ154" s="1"/>
      <c r="CA154" s="1"/>
      <c r="CB154" s="1"/>
      <c r="CC154" s="1"/>
      <c r="CD154" s="1"/>
      <c r="CE154" s="1"/>
      <c r="CF154" s="1"/>
      <c r="CG154" s="1"/>
    </row>
    <row r="155" spans="1:85" ht="15.75">
      <c r="A155" s="206"/>
      <c r="B155" s="207"/>
      <c r="C155" s="208"/>
      <c r="D155" s="209" t="s">
        <v>224</v>
      </c>
      <c r="E155" s="202">
        <f t="shared" ref="E155:H155" si="655">SUM(E156:E157)</f>
        <v>0</v>
      </c>
      <c r="F155" s="203">
        <f t="shared" si="655"/>
        <v>0</v>
      </c>
      <c r="G155" s="203">
        <f t="shared" si="655"/>
        <v>0</v>
      </c>
      <c r="H155" s="203">
        <f t="shared" si="655"/>
        <v>0</v>
      </c>
      <c r="I155" s="204">
        <f t="shared" si="45"/>
        <v>0</v>
      </c>
      <c r="J155" s="204">
        <f t="shared" si="46"/>
        <v>0</v>
      </c>
      <c r="K155" s="203">
        <f t="shared" ref="K155:W155" si="656">SUM(K156:K157)</f>
        <v>0</v>
      </c>
      <c r="L155" s="203">
        <f t="shared" si="656"/>
        <v>0</v>
      </c>
      <c r="M155" s="203">
        <f t="shared" si="656"/>
        <v>0</v>
      </c>
      <c r="N155" s="203">
        <f t="shared" si="656"/>
        <v>111394.76000000001</v>
      </c>
      <c r="O155" s="203">
        <f t="shared" si="656"/>
        <v>0</v>
      </c>
      <c r="P155" s="203">
        <f t="shared" si="656"/>
        <v>0</v>
      </c>
      <c r="Q155" s="203">
        <f t="shared" si="656"/>
        <v>111394.76000000001</v>
      </c>
      <c r="R155" s="203">
        <f t="shared" si="656"/>
        <v>0</v>
      </c>
      <c r="S155" s="203">
        <f t="shared" si="656"/>
        <v>0</v>
      </c>
      <c r="T155" s="203">
        <f t="shared" si="656"/>
        <v>95877.3</v>
      </c>
      <c r="U155" s="203">
        <f t="shared" si="656"/>
        <v>0</v>
      </c>
      <c r="V155" s="203">
        <f t="shared" si="656"/>
        <v>0</v>
      </c>
      <c r="W155" s="203">
        <f t="shared" si="656"/>
        <v>0</v>
      </c>
      <c r="X155" s="205">
        <f t="shared" ref="X155:Y155" si="657">IF(O155&gt;0,O155/K155,0)</f>
        <v>0</v>
      </c>
      <c r="Y155" s="205">
        <f t="shared" si="657"/>
        <v>0</v>
      </c>
      <c r="Z155" s="205">
        <f t="shared" si="5"/>
        <v>1</v>
      </c>
      <c r="AA155" s="203">
        <f t="shared" ref="AA155:BW155" si="658">SUM(AA156:AA157)</f>
        <v>0</v>
      </c>
      <c r="AB155" s="203">
        <f t="shared" si="658"/>
        <v>0</v>
      </c>
      <c r="AC155" s="203">
        <f t="shared" si="658"/>
        <v>0</v>
      </c>
      <c r="AD155" s="203">
        <f t="shared" si="658"/>
        <v>0</v>
      </c>
      <c r="AE155" s="203">
        <f t="shared" si="658"/>
        <v>0</v>
      </c>
      <c r="AF155" s="203">
        <f t="shared" si="658"/>
        <v>0</v>
      </c>
      <c r="AG155" s="203">
        <f t="shared" si="658"/>
        <v>0</v>
      </c>
      <c r="AH155" s="203">
        <f t="shared" si="658"/>
        <v>0</v>
      </c>
      <c r="AI155" s="203">
        <f t="shared" si="658"/>
        <v>0</v>
      </c>
      <c r="AJ155" s="203">
        <f t="shared" si="658"/>
        <v>0</v>
      </c>
      <c r="AK155" s="203">
        <f t="shared" si="658"/>
        <v>0</v>
      </c>
      <c r="AL155" s="203">
        <f t="shared" si="658"/>
        <v>0</v>
      </c>
      <c r="AM155" s="203">
        <f t="shared" si="658"/>
        <v>0</v>
      </c>
      <c r="AN155" s="203">
        <f t="shared" si="658"/>
        <v>0</v>
      </c>
      <c r="AO155" s="203">
        <f t="shared" si="658"/>
        <v>0</v>
      </c>
      <c r="AP155" s="203">
        <f t="shared" si="658"/>
        <v>0</v>
      </c>
      <c r="AQ155" s="203">
        <f t="shared" si="658"/>
        <v>0</v>
      </c>
      <c r="AR155" s="203">
        <f t="shared" si="658"/>
        <v>0</v>
      </c>
      <c r="AS155" s="203">
        <f t="shared" si="658"/>
        <v>0</v>
      </c>
      <c r="AT155" s="203">
        <f t="shared" si="658"/>
        <v>0</v>
      </c>
      <c r="AU155" s="203">
        <f t="shared" si="658"/>
        <v>0</v>
      </c>
      <c r="AV155" s="203">
        <f t="shared" si="658"/>
        <v>0</v>
      </c>
      <c r="AW155" s="203">
        <f t="shared" si="658"/>
        <v>0</v>
      </c>
      <c r="AX155" s="203">
        <f t="shared" si="658"/>
        <v>0</v>
      </c>
      <c r="AY155" s="203">
        <f t="shared" si="658"/>
        <v>0</v>
      </c>
      <c r="AZ155" s="203">
        <f t="shared" si="658"/>
        <v>0</v>
      </c>
      <c r="BA155" s="203">
        <f t="shared" si="658"/>
        <v>0</v>
      </c>
      <c r="BB155" s="203">
        <f t="shared" si="658"/>
        <v>0</v>
      </c>
      <c r="BC155" s="203">
        <f t="shared" si="658"/>
        <v>0</v>
      </c>
      <c r="BD155" s="203">
        <f t="shared" si="658"/>
        <v>0</v>
      </c>
      <c r="BE155" s="203">
        <f t="shared" si="658"/>
        <v>0</v>
      </c>
      <c r="BF155" s="203">
        <f t="shared" si="658"/>
        <v>0</v>
      </c>
      <c r="BG155" s="203">
        <f t="shared" si="658"/>
        <v>46156.65</v>
      </c>
      <c r="BH155" s="203">
        <f t="shared" si="658"/>
        <v>0</v>
      </c>
      <c r="BI155" s="203">
        <f t="shared" si="658"/>
        <v>0</v>
      </c>
      <c r="BJ155" s="203">
        <f t="shared" si="658"/>
        <v>65238.11</v>
      </c>
      <c r="BK155" s="203">
        <f t="shared" si="658"/>
        <v>0</v>
      </c>
      <c r="BL155" s="203">
        <f t="shared" si="658"/>
        <v>0</v>
      </c>
      <c r="BM155" s="203">
        <f t="shared" si="658"/>
        <v>95877.3</v>
      </c>
      <c r="BN155" s="203">
        <f t="shared" si="658"/>
        <v>0</v>
      </c>
      <c r="BO155" s="203">
        <f t="shared" si="658"/>
        <v>15517.46</v>
      </c>
      <c r="BP155" s="203">
        <f t="shared" si="658"/>
        <v>15517.46</v>
      </c>
      <c r="BQ155" s="203">
        <f t="shared" si="658"/>
        <v>0</v>
      </c>
      <c r="BR155" s="203">
        <f t="shared" si="658"/>
        <v>0</v>
      </c>
      <c r="BS155" s="203">
        <f t="shared" si="658"/>
        <v>0</v>
      </c>
      <c r="BT155" s="203">
        <f t="shared" si="658"/>
        <v>0</v>
      </c>
      <c r="BU155" s="203">
        <f t="shared" si="658"/>
        <v>15517.46</v>
      </c>
      <c r="BV155" s="203">
        <f t="shared" si="658"/>
        <v>0</v>
      </c>
      <c r="BW155" s="203">
        <f t="shared" si="658"/>
        <v>15517.46</v>
      </c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</row>
    <row r="156" spans="1:85" ht="15.75" customHeight="1">
      <c r="A156" s="89" t="s">
        <v>402</v>
      </c>
      <c r="B156" s="132"/>
      <c r="C156" s="86" t="s">
        <v>228</v>
      </c>
      <c r="D156" s="126" t="s">
        <v>403</v>
      </c>
      <c r="E156" s="70"/>
      <c r="F156" s="71"/>
      <c r="G156" s="71">
        <f t="shared" ref="G156:G157" si="659">E156-F156</f>
        <v>0</v>
      </c>
      <c r="H156" s="70"/>
      <c r="I156" s="72">
        <f t="shared" si="45"/>
        <v>0</v>
      </c>
      <c r="J156" s="72">
        <f t="shared" si="46"/>
        <v>0</v>
      </c>
      <c r="K156" s="73"/>
      <c r="L156" s="81"/>
      <c r="M156" s="81"/>
      <c r="N156" s="73">
        <f>62534.41+2440.15-2000-489.91-489.95+489.91+49.8</f>
        <v>62534.410000000011</v>
      </c>
      <c r="O156" s="77">
        <f t="shared" ref="O156:Q156" si="660">AA156+AD156+AG156+AJ156+AM156+AP156+AS156+AV156+AY156+BB156+BE156+BH156</f>
        <v>0</v>
      </c>
      <c r="P156" s="77">
        <f t="shared" si="660"/>
        <v>0</v>
      </c>
      <c r="Q156" s="77">
        <f t="shared" si="660"/>
        <v>62534.41</v>
      </c>
      <c r="R156" s="77">
        <f t="shared" ref="R156:T156" si="661">IF(BK156=0,SUM(AA156+AD156+AG156+AJ156+AM156+AP156+AS156+AV156+AY156+BB156+BE156+BH156),BK156)</f>
        <v>0</v>
      </c>
      <c r="S156" s="77">
        <f t="shared" si="661"/>
        <v>0</v>
      </c>
      <c r="T156" s="77">
        <f t="shared" si="661"/>
        <v>55655.62</v>
      </c>
      <c r="U156" s="78">
        <f t="shared" ref="U156:U157" si="662">K156-O156</f>
        <v>0</v>
      </c>
      <c r="V156" s="79">
        <f t="shared" ref="V156:V157" si="663">L156-M156-S156</f>
        <v>0</v>
      </c>
      <c r="W156" s="78">
        <f t="shared" ref="W156:W157" si="664">N156-Q156</f>
        <v>0</v>
      </c>
      <c r="X156" s="80">
        <f t="shared" ref="X156:Y156" si="665">IF(O156&gt;0,O156/K156,0)</f>
        <v>0</v>
      </c>
      <c r="Y156" s="80">
        <f t="shared" si="665"/>
        <v>0</v>
      </c>
      <c r="Z156" s="80">
        <f t="shared" si="5"/>
        <v>0.99999999999999989</v>
      </c>
      <c r="AA156" s="82"/>
      <c r="AB156" s="82"/>
      <c r="AC156" s="81"/>
      <c r="AD156" s="81"/>
      <c r="AE156" s="83"/>
      <c r="AF156" s="83"/>
      <c r="AG156" s="128"/>
      <c r="AH156" s="83"/>
      <c r="AI156" s="81"/>
      <c r="AJ156" s="82"/>
      <c r="AK156" s="81"/>
      <c r="AL156" s="81"/>
      <c r="AM156" s="82"/>
      <c r="AN156" s="81"/>
      <c r="AO156" s="81"/>
      <c r="AP156" s="82"/>
      <c r="AQ156" s="81"/>
      <c r="AR156" s="81"/>
      <c r="AS156" s="81"/>
      <c r="AT156" s="81"/>
      <c r="AU156" s="81"/>
      <c r="AV156" s="81"/>
      <c r="AW156" s="81"/>
      <c r="AX156" s="81"/>
      <c r="AY156" s="81"/>
      <c r="AZ156" s="81"/>
      <c r="BA156" s="81"/>
      <c r="BB156" s="81"/>
      <c r="BC156" s="81"/>
      <c r="BD156" s="81"/>
      <c r="BE156" s="81"/>
      <c r="BF156" s="81"/>
      <c r="BG156" s="81"/>
      <c r="BH156" s="81"/>
      <c r="BI156" s="81"/>
      <c r="BJ156" s="81">
        <f>62534.41</f>
        <v>62534.41</v>
      </c>
      <c r="BK156" s="82">
        <v>0</v>
      </c>
      <c r="BL156" s="82">
        <v>0</v>
      </c>
      <c r="BM156" s="82">
        <f>62534.41-6878.79</f>
        <v>55655.62</v>
      </c>
      <c r="BN156" s="81">
        <f t="shared" ref="BN156:BN157" si="666">IF(O156-BK156&gt;0,O156-BK156,0)</f>
        <v>0</v>
      </c>
      <c r="BO156" s="210">
        <f t="shared" ref="BO156:BO157" si="667">IF(Q156-BM156&gt;0,Q156-BM156,0)</f>
        <v>6878.7900000000009</v>
      </c>
      <c r="BP156" s="81">
        <f t="shared" ref="BP156:BP157" si="668">IF(BN156+BO156&gt;0,BN156+BO156,0)</f>
        <v>6878.7900000000009</v>
      </c>
      <c r="BQ156" s="81">
        <f t="shared" ref="BQ156:BQ157" si="669">IF(U156=0,0,U156)</f>
        <v>0</v>
      </c>
      <c r="BR156" s="81">
        <f t="shared" ref="BR156:BR157" si="670">IF(W156=0,0,W156)</f>
        <v>0</v>
      </c>
      <c r="BS156" s="81">
        <f t="shared" ref="BS156:BS157" si="671">IF(BQ156+BR156&gt;0,BQ156+BR156,0)</f>
        <v>0</v>
      </c>
      <c r="BT156" s="81">
        <f t="shared" ref="BT156:BT157" si="672">IF(V156&gt;0,V156,0)</f>
        <v>0</v>
      </c>
      <c r="BU156" s="81">
        <f t="shared" ref="BU156:BU157" si="673">IF(BP156=0,0,BP156)</f>
        <v>6878.7900000000009</v>
      </c>
      <c r="BV156" s="81">
        <f t="shared" ref="BV156:BV157" si="674">IF(BS156=0,0,BS156)</f>
        <v>0</v>
      </c>
      <c r="BW156" s="81">
        <f t="shared" ref="BW156:BW157" si="675">IF(BP156+BT156+BV156&gt;0,BP156+BT156+BV156,0)</f>
        <v>6878.7900000000009</v>
      </c>
      <c r="BX156" s="1"/>
      <c r="BY156" s="1"/>
      <c r="BZ156" s="1"/>
      <c r="CA156" s="1"/>
      <c r="CB156" s="1"/>
      <c r="CC156" s="1"/>
      <c r="CD156" s="1"/>
      <c r="CE156" s="1"/>
      <c r="CF156" s="1"/>
      <c r="CG156" s="1"/>
    </row>
    <row r="157" spans="1:85" ht="15.75" customHeight="1">
      <c r="A157" s="134" t="s">
        <v>404</v>
      </c>
      <c r="B157" s="132"/>
      <c r="C157" s="86" t="s">
        <v>234</v>
      </c>
      <c r="D157" s="135" t="s">
        <v>405</v>
      </c>
      <c r="E157" s="70"/>
      <c r="F157" s="71"/>
      <c r="G157" s="71">
        <f t="shared" si="659"/>
        <v>0</v>
      </c>
      <c r="H157" s="70"/>
      <c r="I157" s="72">
        <f t="shared" si="45"/>
        <v>0</v>
      </c>
      <c r="J157" s="72">
        <f t="shared" si="46"/>
        <v>0</v>
      </c>
      <c r="K157" s="73"/>
      <c r="L157" s="81"/>
      <c r="M157" s="81"/>
      <c r="N157" s="88">
        <f>48860.35</f>
        <v>48860.35</v>
      </c>
      <c r="O157" s="77">
        <f t="shared" ref="O157:Q157" si="676">AA157+AD157+AG157+AJ157+AM157+AP157+AS157+AV157+AY157+BB157+BE157+BH157</f>
        <v>0</v>
      </c>
      <c r="P157" s="77">
        <f t="shared" si="676"/>
        <v>0</v>
      </c>
      <c r="Q157" s="77">
        <f t="shared" si="676"/>
        <v>48860.35</v>
      </c>
      <c r="R157" s="77">
        <f t="shared" ref="R157:T157" si="677">IF(BK157=0,SUM(AA157+AD157+AG157+AJ157+AM157+AP157+AS157+AV157+AY157+BB157+BE157+BH157),BK157)</f>
        <v>0</v>
      </c>
      <c r="S157" s="77">
        <f t="shared" si="677"/>
        <v>0</v>
      </c>
      <c r="T157" s="77">
        <f t="shared" si="677"/>
        <v>40221.68</v>
      </c>
      <c r="U157" s="78">
        <f t="shared" si="662"/>
        <v>0</v>
      </c>
      <c r="V157" s="79">
        <f t="shared" si="663"/>
        <v>0</v>
      </c>
      <c r="W157" s="79">
        <f t="shared" si="664"/>
        <v>0</v>
      </c>
      <c r="X157" s="80">
        <f t="shared" ref="X157:Y157" si="678">IF(O157&gt;0,O157/K157,0)</f>
        <v>0</v>
      </c>
      <c r="Y157" s="80">
        <f t="shared" si="678"/>
        <v>0</v>
      </c>
      <c r="Z157" s="80">
        <f t="shared" si="5"/>
        <v>1</v>
      </c>
      <c r="AA157" s="81"/>
      <c r="AB157" s="82"/>
      <c r="AC157" s="81"/>
      <c r="AD157" s="81"/>
      <c r="AE157" s="128"/>
      <c r="AF157" s="83"/>
      <c r="AG157" s="83"/>
      <c r="AH157" s="83"/>
      <c r="AI157" s="81"/>
      <c r="AJ157" s="81"/>
      <c r="AK157" s="81"/>
      <c r="AL157" s="81"/>
      <c r="AM157" s="82"/>
      <c r="AN157" s="81"/>
      <c r="AO157" s="81"/>
      <c r="AP157" s="81"/>
      <c r="AQ157" s="81"/>
      <c r="AR157" s="81"/>
      <c r="AS157" s="82"/>
      <c r="AT157" s="81"/>
      <c r="AU157" s="81"/>
      <c r="AV157" s="81"/>
      <c r="AW157" s="81"/>
      <c r="AX157" s="81"/>
      <c r="AY157" s="81"/>
      <c r="AZ157" s="81"/>
      <c r="BA157" s="81"/>
      <c r="BB157" s="81"/>
      <c r="BC157" s="81"/>
      <c r="BD157" s="81"/>
      <c r="BE157" s="81"/>
      <c r="BF157" s="81"/>
      <c r="BG157" s="82">
        <v>46156.65</v>
      </c>
      <c r="BH157" s="81"/>
      <c r="BI157" s="81"/>
      <c r="BJ157" s="82">
        <v>2703.7</v>
      </c>
      <c r="BK157" s="82">
        <v>0</v>
      </c>
      <c r="BL157" s="82">
        <v>0</v>
      </c>
      <c r="BM157" s="82">
        <f>48860.35-8638.67</f>
        <v>40221.68</v>
      </c>
      <c r="BN157" s="81">
        <f t="shared" si="666"/>
        <v>0</v>
      </c>
      <c r="BO157" s="210">
        <f t="shared" si="667"/>
        <v>8638.6699999999983</v>
      </c>
      <c r="BP157" s="81">
        <f t="shared" si="668"/>
        <v>8638.6699999999983</v>
      </c>
      <c r="BQ157" s="81">
        <f t="shared" si="669"/>
        <v>0</v>
      </c>
      <c r="BR157" s="81">
        <f t="shared" si="670"/>
        <v>0</v>
      </c>
      <c r="BS157" s="81">
        <f t="shared" si="671"/>
        <v>0</v>
      </c>
      <c r="BT157" s="81">
        <f t="shared" si="672"/>
        <v>0</v>
      </c>
      <c r="BU157" s="81">
        <f t="shared" si="673"/>
        <v>8638.6699999999983</v>
      </c>
      <c r="BV157" s="81">
        <f t="shared" si="674"/>
        <v>0</v>
      </c>
      <c r="BW157" s="81">
        <f t="shared" si="675"/>
        <v>8638.6699999999983</v>
      </c>
      <c r="BX157" s="1"/>
      <c r="BY157" s="1"/>
      <c r="BZ157" s="1"/>
      <c r="CA157" s="1"/>
      <c r="CB157" s="1"/>
      <c r="CC157" s="1"/>
      <c r="CD157" s="1"/>
      <c r="CE157" s="1"/>
      <c r="CF157" s="1"/>
      <c r="CG157" s="1"/>
    </row>
    <row r="158" spans="1:85" ht="15.75">
      <c r="A158" s="206"/>
      <c r="B158" s="207"/>
      <c r="C158" s="208"/>
      <c r="D158" s="209" t="s">
        <v>251</v>
      </c>
      <c r="E158" s="202">
        <f t="shared" ref="E158:H158" si="679">SUM(E159)</f>
        <v>0</v>
      </c>
      <c r="F158" s="202">
        <f t="shared" si="679"/>
        <v>0</v>
      </c>
      <c r="G158" s="202">
        <f t="shared" si="679"/>
        <v>0</v>
      </c>
      <c r="H158" s="202">
        <f t="shared" si="679"/>
        <v>0</v>
      </c>
      <c r="I158" s="204">
        <f t="shared" si="45"/>
        <v>0</v>
      </c>
      <c r="J158" s="204">
        <f t="shared" si="46"/>
        <v>0</v>
      </c>
      <c r="K158" s="202">
        <f t="shared" ref="K158:W158" si="680">SUM(K159)</f>
        <v>0</v>
      </c>
      <c r="L158" s="202">
        <f t="shared" si="680"/>
        <v>0</v>
      </c>
      <c r="M158" s="202">
        <f t="shared" si="680"/>
        <v>0</v>
      </c>
      <c r="N158" s="202">
        <f t="shared" si="680"/>
        <v>91501.19</v>
      </c>
      <c r="O158" s="202">
        <f t="shared" si="680"/>
        <v>0</v>
      </c>
      <c r="P158" s="202">
        <f t="shared" si="680"/>
        <v>0</v>
      </c>
      <c r="Q158" s="202">
        <f t="shared" si="680"/>
        <v>0</v>
      </c>
      <c r="R158" s="202">
        <f t="shared" si="680"/>
        <v>0</v>
      </c>
      <c r="S158" s="202">
        <f t="shared" si="680"/>
        <v>0</v>
      </c>
      <c r="T158" s="202">
        <f t="shared" si="680"/>
        <v>0</v>
      </c>
      <c r="U158" s="202">
        <f t="shared" si="680"/>
        <v>0</v>
      </c>
      <c r="V158" s="202">
        <f t="shared" si="680"/>
        <v>0</v>
      </c>
      <c r="W158" s="202">
        <f t="shared" si="680"/>
        <v>91501.19</v>
      </c>
      <c r="X158" s="205">
        <f t="shared" ref="X158:Y158" si="681">IF(O158&gt;0,O158/K158,0)</f>
        <v>0</v>
      </c>
      <c r="Y158" s="205">
        <f t="shared" si="681"/>
        <v>0</v>
      </c>
      <c r="Z158" s="205">
        <f t="shared" si="5"/>
        <v>0</v>
      </c>
      <c r="AA158" s="202">
        <f t="shared" ref="AA158:BW158" si="682">SUM(AA159)</f>
        <v>0</v>
      </c>
      <c r="AB158" s="202">
        <f t="shared" si="682"/>
        <v>0</v>
      </c>
      <c r="AC158" s="202">
        <f t="shared" si="682"/>
        <v>0</v>
      </c>
      <c r="AD158" s="202">
        <f t="shared" si="682"/>
        <v>0</v>
      </c>
      <c r="AE158" s="202">
        <f t="shared" si="682"/>
        <v>0</v>
      </c>
      <c r="AF158" s="202">
        <f t="shared" si="682"/>
        <v>0</v>
      </c>
      <c r="AG158" s="202">
        <f t="shared" si="682"/>
        <v>0</v>
      </c>
      <c r="AH158" s="202">
        <f t="shared" si="682"/>
        <v>0</v>
      </c>
      <c r="AI158" s="202">
        <f t="shared" si="682"/>
        <v>0</v>
      </c>
      <c r="AJ158" s="202">
        <f t="shared" si="682"/>
        <v>0</v>
      </c>
      <c r="AK158" s="202">
        <f t="shared" si="682"/>
        <v>0</v>
      </c>
      <c r="AL158" s="202">
        <f t="shared" si="682"/>
        <v>0</v>
      </c>
      <c r="AM158" s="202">
        <f t="shared" si="682"/>
        <v>0</v>
      </c>
      <c r="AN158" s="202">
        <f t="shared" si="682"/>
        <v>0</v>
      </c>
      <c r="AO158" s="202">
        <f t="shared" si="682"/>
        <v>0</v>
      </c>
      <c r="AP158" s="202">
        <f t="shared" si="682"/>
        <v>0</v>
      </c>
      <c r="AQ158" s="202">
        <f t="shared" si="682"/>
        <v>0</v>
      </c>
      <c r="AR158" s="202">
        <f t="shared" si="682"/>
        <v>0</v>
      </c>
      <c r="AS158" s="202">
        <f t="shared" si="682"/>
        <v>0</v>
      </c>
      <c r="AT158" s="202">
        <f t="shared" si="682"/>
        <v>0</v>
      </c>
      <c r="AU158" s="202">
        <f t="shared" si="682"/>
        <v>0</v>
      </c>
      <c r="AV158" s="202">
        <f t="shared" si="682"/>
        <v>0</v>
      </c>
      <c r="AW158" s="202">
        <f t="shared" si="682"/>
        <v>0</v>
      </c>
      <c r="AX158" s="202">
        <f t="shared" si="682"/>
        <v>0</v>
      </c>
      <c r="AY158" s="202">
        <f t="shared" si="682"/>
        <v>0</v>
      </c>
      <c r="AZ158" s="202">
        <f t="shared" si="682"/>
        <v>0</v>
      </c>
      <c r="BA158" s="202">
        <f t="shared" si="682"/>
        <v>0</v>
      </c>
      <c r="BB158" s="202">
        <f t="shared" si="682"/>
        <v>0</v>
      </c>
      <c r="BC158" s="202">
        <f t="shared" si="682"/>
        <v>0</v>
      </c>
      <c r="BD158" s="202">
        <f t="shared" si="682"/>
        <v>0</v>
      </c>
      <c r="BE158" s="202">
        <f t="shared" si="682"/>
        <v>0</v>
      </c>
      <c r="BF158" s="202">
        <f t="shared" si="682"/>
        <v>0</v>
      </c>
      <c r="BG158" s="202">
        <f t="shared" si="682"/>
        <v>0</v>
      </c>
      <c r="BH158" s="202">
        <f t="shared" si="682"/>
        <v>0</v>
      </c>
      <c r="BI158" s="202">
        <f t="shared" si="682"/>
        <v>0</v>
      </c>
      <c r="BJ158" s="202">
        <f t="shared" si="682"/>
        <v>0</v>
      </c>
      <c r="BK158" s="202">
        <f t="shared" si="682"/>
        <v>0</v>
      </c>
      <c r="BL158" s="202">
        <f t="shared" si="682"/>
        <v>0</v>
      </c>
      <c r="BM158" s="202">
        <f t="shared" si="682"/>
        <v>0</v>
      </c>
      <c r="BN158" s="202">
        <f t="shared" si="682"/>
        <v>0</v>
      </c>
      <c r="BO158" s="202">
        <f t="shared" si="682"/>
        <v>0</v>
      </c>
      <c r="BP158" s="202">
        <f t="shared" si="682"/>
        <v>0</v>
      </c>
      <c r="BQ158" s="202">
        <f t="shared" si="682"/>
        <v>0</v>
      </c>
      <c r="BR158" s="202">
        <f t="shared" si="682"/>
        <v>91501.19</v>
      </c>
      <c r="BS158" s="202">
        <f t="shared" si="682"/>
        <v>91501.19</v>
      </c>
      <c r="BT158" s="202">
        <f t="shared" si="682"/>
        <v>0</v>
      </c>
      <c r="BU158" s="202">
        <f t="shared" si="682"/>
        <v>0</v>
      </c>
      <c r="BV158" s="202">
        <f t="shared" si="682"/>
        <v>91501.19</v>
      </c>
      <c r="BW158" s="202">
        <f t="shared" si="682"/>
        <v>91501.19</v>
      </c>
      <c r="BX158" s="65"/>
      <c r="BY158" s="65"/>
      <c r="BZ158" s="65"/>
      <c r="CA158" s="65"/>
      <c r="CB158" s="65"/>
      <c r="CC158" s="65"/>
      <c r="CD158" s="65"/>
      <c r="CE158" s="65"/>
      <c r="CF158" s="65"/>
      <c r="CG158" s="65"/>
    </row>
    <row r="159" spans="1:85" ht="15.75" customHeight="1">
      <c r="A159" s="66" t="s">
        <v>406</v>
      </c>
      <c r="B159" s="85"/>
      <c r="C159" s="86" t="s">
        <v>256</v>
      </c>
      <c r="D159" s="126" t="s">
        <v>407</v>
      </c>
      <c r="E159" s="70"/>
      <c r="F159" s="71"/>
      <c r="G159" s="71">
        <f>E159-F159</f>
        <v>0</v>
      </c>
      <c r="H159" s="70"/>
      <c r="I159" s="72">
        <f t="shared" si="45"/>
        <v>0</v>
      </c>
      <c r="J159" s="72">
        <f t="shared" si="46"/>
        <v>0</v>
      </c>
      <c r="K159" s="73"/>
      <c r="L159" s="81"/>
      <c r="M159" s="81"/>
      <c r="N159" s="88">
        <f>79100.77+12400.42</f>
        <v>91501.19</v>
      </c>
      <c r="O159" s="77">
        <f t="shared" ref="O159:Q159" si="683">AA159+AD159+AG159+AJ159+AM159+AP159+AS159+AV159+AY159+BB159+BE159+BH159</f>
        <v>0</v>
      </c>
      <c r="P159" s="77">
        <f t="shared" si="683"/>
        <v>0</v>
      </c>
      <c r="Q159" s="77">
        <f t="shared" si="683"/>
        <v>0</v>
      </c>
      <c r="R159" s="77">
        <f t="shared" ref="R159:T159" si="684">IF(BK159=0,SUM(AA159+AD159+AG159+AJ159+AM159+AP159+AS159+AV159+AY159+BB159+BE159+BH159),BK159)</f>
        <v>0</v>
      </c>
      <c r="S159" s="77">
        <f t="shared" si="684"/>
        <v>0</v>
      </c>
      <c r="T159" s="77">
        <f t="shared" si="684"/>
        <v>0</v>
      </c>
      <c r="U159" s="78">
        <f>K159-O159</f>
        <v>0</v>
      </c>
      <c r="V159" s="79">
        <f>L159-M159-S159</f>
        <v>0</v>
      </c>
      <c r="W159" s="79">
        <f>N159-Q159</f>
        <v>91501.19</v>
      </c>
      <c r="X159" s="80">
        <f t="shared" ref="X159:Y159" si="685">IF(O159&gt;0,O159/K159,0)</f>
        <v>0</v>
      </c>
      <c r="Y159" s="80">
        <f t="shared" si="685"/>
        <v>0</v>
      </c>
      <c r="Z159" s="80">
        <f t="shared" si="5"/>
        <v>0</v>
      </c>
      <c r="AA159" s="81"/>
      <c r="AB159" s="82"/>
      <c r="AC159" s="81"/>
      <c r="AD159" s="81"/>
      <c r="AE159" s="83"/>
      <c r="AF159" s="83"/>
      <c r="AG159" s="83"/>
      <c r="AH159" s="83"/>
      <c r="AI159" s="81"/>
      <c r="AJ159" s="81"/>
      <c r="AK159" s="81"/>
      <c r="AL159" s="81"/>
      <c r="AM159" s="81"/>
      <c r="AN159" s="81"/>
      <c r="AO159" s="81"/>
      <c r="AP159" s="81"/>
      <c r="AQ159" s="81"/>
      <c r="AR159" s="81"/>
      <c r="AS159" s="81"/>
      <c r="AT159" s="81"/>
      <c r="AU159" s="81"/>
      <c r="AV159" s="81"/>
      <c r="AW159" s="81"/>
      <c r="AX159" s="81"/>
      <c r="AY159" s="81"/>
      <c r="AZ159" s="81"/>
      <c r="BA159" s="81"/>
      <c r="BB159" s="81"/>
      <c r="BC159" s="81"/>
      <c r="BD159" s="81"/>
      <c r="BE159" s="81"/>
      <c r="BF159" s="81"/>
      <c r="BG159" s="81"/>
      <c r="BH159" s="81"/>
      <c r="BI159" s="81"/>
      <c r="BJ159" s="81"/>
      <c r="BK159" s="82">
        <v>0</v>
      </c>
      <c r="BL159" s="82">
        <v>0</v>
      </c>
      <c r="BM159" s="82">
        <v>0</v>
      </c>
      <c r="BN159" s="81">
        <f>IF(O159-BK159&gt;0,O159-BK159,0)</f>
        <v>0</v>
      </c>
      <c r="BO159" s="75">
        <f>IF(Q159-BM159&gt;0,Q159-BM159,0)</f>
        <v>0</v>
      </c>
      <c r="BP159" s="81">
        <f>IF(BN159+BO159&gt;0,BN159+BO159,0)</f>
        <v>0</v>
      </c>
      <c r="BQ159" s="81">
        <f>IF(U159=0,0,U159)</f>
        <v>0</v>
      </c>
      <c r="BR159" s="81">
        <f>IF(W159=0,0,W159)</f>
        <v>91501.19</v>
      </c>
      <c r="BS159" s="81">
        <f>IF(BQ159+BR159&gt;0,BQ159+BR159,0)</f>
        <v>91501.19</v>
      </c>
      <c r="BT159" s="81">
        <f>IF(V159&gt;0,V159,0)</f>
        <v>0</v>
      </c>
      <c r="BU159" s="81">
        <f>IF(BP159=0,0,BP159)</f>
        <v>0</v>
      </c>
      <c r="BV159" s="81">
        <f>IF(BS159=0,0,BS159)</f>
        <v>91501.19</v>
      </c>
      <c r="BW159" s="81">
        <f>IF(BP159+BT159+BV159&gt;0,BP159+BT159+BV159,0)</f>
        <v>91501.19</v>
      </c>
      <c r="BX159" s="1"/>
      <c r="BY159" s="1"/>
      <c r="BZ159" s="1"/>
      <c r="CA159" s="1"/>
      <c r="CB159" s="1"/>
      <c r="CC159" s="1"/>
      <c r="CD159" s="1"/>
      <c r="CE159" s="1"/>
      <c r="CF159" s="1"/>
      <c r="CG159" s="1"/>
    </row>
    <row r="160" spans="1:85" ht="15.75">
      <c r="A160" s="206"/>
      <c r="B160" s="207"/>
      <c r="C160" s="208"/>
      <c r="D160" s="209" t="s">
        <v>320</v>
      </c>
      <c r="E160" s="202">
        <f t="shared" ref="E160:H160" si="686">SUM(E161:E162)</f>
        <v>0</v>
      </c>
      <c r="F160" s="203">
        <f t="shared" si="686"/>
        <v>0</v>
      </c>
      <c r="G160" s="203">
        <f t="shared" si="686"/>
        <v>0</v>
      </c>
      <c r="H160" s="203">
        <f t="shared" si="686"/>
        <v>0</v>
      </c>
      <c r="I160" s="204">
        <f t="shared" si="45"/>
        <v>0</v>
      </c>
      <c r="J160" s="204">
        <f t="shared" si="46"/>
        <v>0</v>
      </c>
      <c r="K160" s="203">
        <f t="shared" ref="K160:W160" si="687">SUM(K161:K162)</f>
        <v>0</v>
      </c>
      <c r="L160" s="203">
        <f t="shared" si="687"/>
        <v>0</v>
      </c>
      <c r="M160" s="203">
        <f t="shared" si="687"/>
        <v>0</v>
      </c>
      <c r="N160" s="203">
        <f t="shared" si="687"/>
        <v>22345.23</v>
      </c>
      <c r="O160" s="203">
        <f t="shared" si="687"/>
        <v>0</v>
      </c>
      <c r="P160" s="203">
        <f t="shared" si="687"/>
        <v>0</v>
      </c>
      <c r="Q160" s="203">
        <f t="shared" si="687"/>
        <v>2535.73</v>
      </c>
      <c r="R160" s="203">
        <f t="shared" si="687"/>
        <v>0</v>
      </c>
      <c r="S160" s="203">
        <f t="shared" si="687"/>
        <v>0</v>
      </c>
      <c r="T160" s="203">
        <f t="shared" si="687"/>
        <v>2535.73</v>
      </c>
      <c r="U160" s="203">
        <f t="shared" si="687"/>
        <v>0</v>
      </c>
      <c r="V160" s="203">
        <f t="shared" si="687"/>
        <v>0</v>
      </c>
      <c r="W160" s="203">
        <f t="shared" si="687"/>
        <v>19809.500000000004</v>
      </c>
      <c r="X160" s="205">
        <f t="shared" ref="X160:Y160" si="688">IF(O160&gt;0,O160/K160,0)</f>
        <v>0</v>
      </c>
      <c r="Y160" s="205">
        <f t="shared" si="688"/>
        <v>0</v>
      </c>
      <c r="Z160" s="205">
        <f t="shared" si="5"/>
        <v>0.11347970014181998</v>
      </c>
      <c r="AA160" s="203">
        <f t="shared" ref="AA160:BW160" si="689">SUM(AA161:AA162)</f>
        <v>0</v>
      </c>
      <c r="AB160" s="203">
        <f t="shared" si="689"/>
        <v>0</v>
      </c>
      <c r="AC160" s="203">
        <f t="shared" si="689"/>
        <v>0</v>
      </c>
      <c r="AD160" s="203">
        <f t="shared" si="689"/>
        <v>0</v>
      </c>
      <c r="AE160" s="203">
        <f t="shared" si="689"/>
        <v>0</v>
      </c>
      <c r="AF160" s="203">
        <f t="shared" si="689"/>
        <v>0</v>
      </c>
      <c r="AG160" s="203">
        <f t="shared" si="689"/>
        <v>0</v>
      </c>
      <c r="AH160" s="203">
        <f t="shared" si="689"/>
        <v>0</v>
      </c>
      <c r="AI160" s="203">
        <f t="shared" si="689"/>
        <v>0</v>
      </c>
      <c r="AJ160" s="203">
        <f t="shared" si="689"/>
        <v>0</v>
      </c>
      <c r="AK160" s="203">
        <f t="shared" si="689"/>
        <v>0</v>
      </c>
      <c r="AL160" s="203">
        <f t="shared" si="689"/>
        <v>0</v>
      </c>
      <c r="AM160" s="203">
        <f t="shared" si="689"/>
        <v>0</v>
      </c>
      <c r="AN160" s="203">
        <f t="shared" si="689"/>
        <v>0</v>
      </c>
      <c r="AO160" s="203">
        <f t="shared" si="689"/>
        <v>0</v>
      </c>
      <c r="AP160" s="203">
        <f t="shared" si="689"/>
        <v>0</v>
      </c>
      <c r="AQ160" s="203">
        <f t="shared" si="689"/>
        <v>0</v>
      </c>
      <c r="AR160" s="203">
        <f t="shared" si="689"/>
        <v>0</v>
      </c>
      <c r="AS160" s="203">
        <f t="shared" si="689"/>
        <v>0</v>
      </c>
      <c r="AT160" s="203">
        <f t="shared" si="689"/>
        <v>0</v>
      </c>
      <c r="AU160" s="203">
        <f t="shared" si="689"/>
        <v>0</v>
      </c>
      <c r="AV160" s="203">
        <f t="shared" si="689"/>
        <v>0</v>
      </c>
      <c r="AW160" s="203">
        <f t="shared" si="689"/>
        <v>0</v>
      </c>
      <c r="AX160" s="203">
        <f t="shared" si="689"/>
        <v>0</v>
      </c>
      <c r="AY160" s="203">
        <f t="shared" si="689"/>
        <v>0</v>
      </c>
      <c r="AZ160" s="203">
        <f t="shared" si="689"/>
        <v>0</v>
      </c>
      <c r="BA160" s="203">
        <f t="shared" si="689"/>
        <v>0</v>
      </c>
      <c r="BB160" s="203">
        <f t="shared" si="689"/>
        <v>0</v>
      </c>
      <c r="BC160" s="203">
        <f t="shared" si="689"/>
        <v>0</v>
      </c>
      <c r="BD160" s="203">
        <f t="shared" si="689"/>
        <v>0</v>
      </c>
      <c r="BE160" s="203">
        <f t="shared" si="689"/>
        <v>0</v>
      </c>
      <c r="BF160" s="203">
        <f t="shared" si="689"/>
        <v>0</v>
      </c>
      <c r="BG160" s="203">
        <f t="shared" si="689"/>
        <v>16.600000000000001</v>
      </c>
      <c r="BH160" s="203">
        <f t="shared" si="689"/>
        <v>0</v>
      </c>
      <c r="BI160" s="203">
        <f t="shared" si="689"/>
        <v>0</v>
      </c>
      <c r="BJ160" s="203">
        <f t="shared" si="689"/>
        <v>2519.13</v>
      </c>
      <c r="BK160" s="203">
        <f t="shared" si="689"/>
        <v>0</v>
      </c>
      <c r="BL160" s="203">
        <f t="shared" si="689"/>
        <v>0</v>
      </c>
      <c r="BM160" s="203">
        <f t="shared" si="689"/>
        <v>2535.73</v>
      </c>
      <c r="BN160" s="203">
        <f t="shared" si="689"/>
        <v>0</v>
      </c>
      <c r="BO160" s="203">
        <f t="shared" si="689"/>
        <v>0</v>
      </c>
      <c r="BP160" s="203">
        <f t="shared" si="689"/>
        <v>0</v>
      </c>
      <c r="BQ160" s="203">
        <f t="shared" si="689"/>
        <v>0</v>
      </c>
      <c r="BR160" s="203">
        <f t="shared" si="689"/>
        <v>19809.500000000004</v>
      </c>
      <c r="BS160" s="203">
        <f t="shared" si="689"/>
        <v>19809.500000000004</v>
      </c>
      <c r="BT160" s="203">
        <f t="shared" si="689"/>
        <v>0</v>
      </c>
      <c r="BU160" s="203">
        <f t="shared" si="689"/>
        <v>0</v>
      </c>
      <c r="BV160" s="203">
        <f t="shared" si="689"/>
        <v>19809.500000000004</v>
      </c>
      <c r="BW160" s="203">
        <f t="shared" si="689"/>
        <v>19809.500000000004</v>
      </c>
      <c r="BX160" s="65"/>
      <c r="BY160" s="65"/>
      <c r="BZ160" s="65"/>
      <c r="CA160" s="65"/>
      <c r="CB160" s="65"/>
      <c r="CC160" s="65"/>
      <c r="CD160" s="65"/>
      <c r="CE160" s="65"/>
      <c r="CF160" s="65"/>
      <c r="CG160" s="65"/>
    </row>
    <row r="161" spans="1:85" ht="15.75" customHeight="1">
      <c r="A161" s="134" t="s">
        <v>408</v>
      </c>
      <c r="B161" s="146"/>
      <c r="C161" s="166" t="s">
        <v>323</v>
      </c>
      <c r="D161" s="211" t="s">
        <v>409</v>
      </c>
      <c r="E161" s="212"/>
      <c r="F161" s="213"/>
      <c r="G161" s="71">
        <f t="shared" ref="G161:G162" si="690">E161-F161</f>
        <v>0</v>
      </c>
      <c r="H161" s="70"/>
      <c r="I161" s="72">
        <f t="shared" si="45"/>
        <v>0</v>
      </c>
      <c r="J161" s="72">
        <f t="shared" si="46"/>
        <v>0</v>
      </c>
      <c r="K161" s="73"/>
      <c r="L161" s="120"/>
      <c r="M161" s="124"/>
      <c r="N161" s="88">
        <f>20597.29+1139.47+0.01</f>
        <v>21736.77</v>
      </c>
      <c r="O161" s="77">
        <f t="shared" ref="O161:Q161" si="691">AA161+AD161+AG161+AJ161+AM161+AP161+AS161+AV161+AY161+BB161+BE161+BH161</f>
        <v>0</v>
      </c>
      <c r="P161" s="77">
        <f t="shared" si="691"/>
        <v>0</v>
      </c>
      <c r="Q161" s="77">
        <f t="shared" si="691"/>
        <v>2326.83</v>
      </c>
      <c r="R161" s="77">
        <f t="shared" ref="R161:T161" si="692">IF(BK161=0,SUM(AA161+AD161+AG161+AJ161+AM161+AP161+AS161+AV161+AY161+BB161+BE161+BH161),BK161)</f>
        <v>0</v>
      </c>
      <c r="S161" s="77">
        <f t="shared" si="692"/>
        <v>0</v>
      </c>
      <c r="T161" s="77">
        <f t="shared" si="692"/>
        <v>2326.83</v>
      </c>
      <c r="U161" s="78">
        <f t="shared" ref="U161:U162" si="693">K161-O161</f>
        <v>0</v>
      </c>
      <c r="V161" s="79">
        <f t="shared" ref="V161:V162" si="694">L161-M161-S161</f>
        <v>0</v>
      </c>
      <c r="W161" s="78">
        <f t="shared" ref="W161:W162" si="695">N161-Q161</f>
        <v>19409.940000000002</v>
      </c>
      <c r="X161" s="80">
        <f t="shared" ref="X161:Y161" si="696">IF(O161&gt;0,O161/K161,0)</f>
        <v>0</v>
      </c>
      <c r="Y161" s="80">
        <f t="shared" si="696"/>
        <v>0</v>
      </c>
      <c r="Z161" s="80">
        <f t="shared" si="5"/>
        <v>0.10704580303329335</v>
      </c>
      <c r="AA161" s="81"/>
      <c r="AB161" s="82"/>
      <c r="AC161" s="81"/>
      <c r="AD161" s="82"/>
      <c r="AE161" s="128"/>
      <c r="AF161" s="83"/>
      <c r="AG161" s="171"/>
      <c r="AH161" s="128"/>
      <c r="AI161" s="81"/>
      <c r="AJ161" s="82"/>
      <c r="AK161" s="81"/>
      <c r="AL161" s="81"/>
      <c r="AM161" s="81"/>
      <c r="AN161" s="81"/>
      <c r="AO161" s="81"/>
      <c r="AP161" s="81"/>
      <c r="AQ161" s="81"/>
      <c r="AR161" s="81"/>
      <c r="AS161" s="81"/>
      <c r="AT161" s="81"/>
      <c r="AU161" s="81"/>
      <c r="AV161" s="82"/>
      <c r="AW161" s="81"/>
      <c r="AX161" s="81"/>
      <c r="AY161" s="81"/>
      <c r="AZ161" s="81"/>
      <c r="BA161" s="81"/>
      <c r="BB161" s="81"/>
      <c r="BC161" s="81"/>
      <c r="BD161" s="81"/>
      <c r="BE161" s="81"/>
      <c r="BF161" s="81"/>
      <c r="BG161" s="81"/>
      <c r="BH161" s="81"/>
      <c r="BI161" s="81"/>
      <c r="BJ161" s="81">
        <f>2326.83</f>
        <v>2326.83</v>
      </c>
      <c r="BK161" s="82">
        <v>0</v>
      </c>
      <c r="BL161" s="82">
        <v>0</v>
      </c>
      <c r="BM161" s="82">
        <v>2326.83</v>
      </c>
      <c r="BN161" s="81">
        <f t="shared" ref="BN161:BN162" si="697">IF(O161-BK161&gt;0,O161-BK161,0)</f>
        <v>0</v>
      </c>
      <c r="BO161" s="75">
        <f t="shared" ref="BO161:BO162" si="698">IF(Q161-BM161&gt;0,Q161-BM161,0)</f>
        <v>0</v>
      </c>
      <c r="BP161" s="81">
        <f t="shared" ref="BP161:BP162" si="699">IF(BN161+BO161&gt;0,BN161+BO161,0)</f>
        <v>0</v>
      </c>
      <c r="BQ161" s="81">
        <f t="shared" ref="BQ161:BQ162" si="700">IF(U161=0,0,U161)</f>
        <v>0</v>
      </c>
      <c r="BR161" s="81">
        <f t="shared" ref="BR161:BR162" si="701">IF(W161=0,0,W161)</f>
        <v>19409.940000000002</v>
      </c>
      <c r="BS161" s="81">
        <f t="shared" ref="BS161:BS162" si="702">IF(BQ161+BR161&gt;0,BQ161+BR161,0)</f>
        <v>19409.940000000002</v>
      </c>
      <c r="BT161" s="81">
        <f t="shared" ref="BT161:BT162" si="703">IF(V161&gt;0,V161,0)</f>
        <v>0</v>
      </c>
      <c r="BU161" s="81">
        <f t="shared" ref="BU161:BU162" si="704">IF(BP161=0,0,BP161)</f>
        <v>0</v>
      </c>
      <c r="BV161" s="81">
        <f t="shared" ref="BV161:BV162" si="705">IF(BS161=0,0,BS161)</f>
        <v>19409.940000000002</v>
      </c>
      <c r="BW161" s="81">
        <f t="shared" ref="BW161:BW162" si="706">IF(BP161+BT161+BV161&gt;0,BP161+BT161+BV161,0)</f>
        <v>19409.940000000002</v>
      </c>
      <c r="BX161" s="1"/>
      <c r="BY161" s="1"/>
      <c r="BZ161" s="1"/>
      <c r="CA161" s="1"/>
      <c r="CB161" s="1"/>
      <c r="CC161" s="1"/>
      <c r="CD161" s="1"/>
      <c r="CE161" s="1"/>
      <c r="CF161" s="1"/>
      <c r="CG161" s="1"/>
    </row>
    <row r="162" spans="1:85" ht="15.75" customHeight="1">
      <c r="A162" s="140" t="s">
        <v>410</v>
      </c>
      <c r="B162" s="146"/>
      <c r="C162" s="91" t="s">
        <v>328</v>
      </c>
      <c r="D162" s="143" t="s">
        <v>411</v>
      </c>
      <c r="E162" s="70"/>
      <c r="F162" s="71"/>
      <c r="G162" s="71">
        <f t="shared" si="690"/>
        <v>0</v>
      </c>
      <c r="H162" s="70"/>
      <c r="I162" s="72">
        <f t="shared" si="45"/>
        <v>0</v>
      </c>
      <c r="J162" s="72">
        <f t="shared" si="46"/>
        <v>0</v>
      </c>
      <c r="K162" s="73"/>
      <c r="L162" s="81"/>
      <c r="M162" s="81"/>
      <c r="N162" s="73">
        <f>500+108.46</f>
        <v>608.46</v>
      </c>
      <c r="O162" s="77">
        <f t="shared" ref="O162:Q162" si="707">AA162+AD162+AG162+AJ162+AM162+AP162+AS162+AV162+AY162+BB162+BE162+BH162</f>
        <v>0</v>
      </c>
      <c r="P162" s="77">
        <f t="shared" si="707"/>
        <v>0</v>
      </c>
      <c r="Q162" s="77">
        <f t="shared" si="707"/>
        <v>208.9</v>
      </c>
      <c r="R162" s="77">
        <f t="shared" ref="R162:T162" si="708">IF(BK162=0,SUM(AA162+AD162+AG162+AJ162+AM162+AP162+AS162+AV162+AY162+BB162+BE162+BH162),BK162)</f>
        <v>0</v>
      </c>
      <c r="S162" s="77">
        <f t="shared" si="708"/>
        <v>0</v>
      </c>
      <c r="T162" s="77">
        <f t="shared" si="708"/>
        <v>208.9</v>
      </c>
      <c r="U162" s="78">
        <f t="shared" si="693"/>
        <v>0</v>
      </c>
      <c r="V162" s="79">
        <f t="shared" si="694"/>
        <v>0</v>
      </c>
      <c r="W162" s="78">
        <f t="shared" si="695"/>
        <v>399.56000000000006</v>
      </c>
      <c r="X162" s="80">
        <f t="shared" ref="X162:Y162" si="709">IF(O162&gt;0,O162/K162,0)</f>
        <v>0</v>
      </c>
      <c r="Y162" s="80">
        <f t="shared" si="709"/>
        <v>0</v>
      </c>
      <c r="Z162" s="80">
        <f t="shared" si="5"/>
        <v>0.34332577326364921</v>
      </c>
      <c r="AA162" s="81"/>
      <c r="AB162" s="81"/>
      <c r="AC162" s="81"/>
      <c r="AD162" s="81"/>
      <c r="AE162" s="83"/>
      <c r="AF162" s="83"/>
      <c r="AG162" s="83"/>
      <c r="AH162" s="83"/>
      <c r="AI162" s="81"/>
      <c r="AJ162" s="81"/>
      <c r="AK162" s="81"/>
      <c r="AL162" s="81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2"/>
      <c r="AZ162" s="81"/>
      <c r="BA162" s="81"/>
      <c r="BB162" s="81"/>
      <c r="BC162" s="81"/>
      <c r="BD162" s="81"/>
      <c r="BE162" s="81"/>
      <c r="BF162" s="81"/>
      <c r="BG162" s="82">
        <v>16.600000000000001</v>
      </c>
      <c r="BH162" s="81"/>
      <c r="BI162" s="81"/>
      <c r="BJ162" s="81">
        <f>192.3</f>
        <v>192.3</v>
      </c>
      <c r="BK162" s="82">
        <v>0</v>
      </c>
      <c r="BL162" s="82">
        <v>0</v>
      </c>
      <c r="BM162" s="82">
        <v>208.9</v>
      </c>
      <c r="BN162" s="81">
        <f t="shared" si="697"/>
        <v>0</v>
      </c>
      <c r="BO162" s="75">
        <f t="shared" si="698"/>
        <v>0</v>
      </c>
      <c r="BP162" s="81">
        <f t="shared" si="699"/>
        <v>0</v>
      </c>
      <c r="BQ162" s="81">
        <f t="shared" si="700"/>
        <v>0</v>
      </c>
      <c r="BR162" s="81">
        <f t="shared" si="701"/>
        <v>399.56000000000006</v>
      </c>
      <c r="BS162" s="81">
        <f t="shared" si="702"/>
        <v>399.56000000000006</v>
      </c>
      <c r="BT162" s="81">
        <f t="shared" si="703"/>
        <v>0</v>
      </c>
      <c r="BU162" s="81">
        <f t="shared" si="704"/>
        <v>0</v>
      </c>
      <c r="BV162" s="81">
        <f t="shared" si="705"/>
        <v>399.56000000000006</v>
      </c>
      <c r="BW162" s="81">
        <f t="shared" si="706"/>
        <v>399.56000000000006</v>
      </c>
      <c r="BX162" s="1"/>
      <c r="BY162" s="1"/>
      <c r="BZ162" s="1"/>
      <c r="CA162" s="1"/>
      <c r="CB162" s="1"/>
      <c r="CC162" s="1"/>
      <c r="CD162" s="1"/>
      <c r="CE162" s="1"/>
      <c r="CF162" s="1"/>
      <c r="CG162" s="1"/>
    </row>
    <row r="163" spans="1:85" ht="15.75">
      <c r="A163" s="206"/>
      <c r="B163" s="207"/>
      <c r="C163" s="208"/>
      <c r="D163" s="209" t="s">
        <v>365</v>
      </c>
      <c r="E163" s="202">
        <f t="shared" ref="E163:H163" si="710">SUM(E164)</f>
        <v>0</v>
      </c>
      <c r="F163" s="203">
        <f t="shared" si="710"/>
        <v>0</v>
      </c>
      <c r="G163" s="203">
        <f t="shared" si="710"/>
        <v>0</v>
      </c>
      <c r="H163" s="203">
        <f t="shared" si="710"/>
        <v>0</v>
      </c>
      <c r="I163" s="204">
        <f t="shared" si="45"/>
        <v>0</v>
      </c>
      <c r="J163" s="204">
        <f t="shared" si="46"/>
        <v>0</v>
      </c>
      <c r="K163" s="203">
        <f t="shared" ref="K163:W163" si="711">SUM(K164)</f>
        <v>0</v>
      </c>
      <c r="L163" s="203">
        <f t="shared" si="711"/>
        <v>0</v>
      </c>
      <c r="M163" s="203">
        <f t="shared" si="711"/>
        <v>0</v>
      </c>
      <c r="N163" s="203">
        <f t="shared" si="711"/>
        <v>3798</v>
      </c>
      <c r="O163" s="203">
        <f t="shared" si="711"/>
        <v>0</v>
      </c>
      <c r="P163" s="203">
        <f t="shared" si="711"/>
        <v>0</v>
      </c>
      <c r="Q163" s="203">
        <f t="shared" si="711"/>
        <v>3798</v>
      </c>
      <c r="R163" s="203">
        <f t="shared" si="711"/>
        <v>0</v>
      </c>
      <c r="S163" s="203">
        <f t="shared" si="711"/>
        <v>0</v>
      </c>
      <c r="T163" s="203">
        <f t="shared" si="711"/>
        <v>3798</v>
      </c>
      <c r="U163" s="203">
        <f t="shared" si="711"/>
        <v>0</v>
      </c>
      <c r="V163" s="203">
        <f t="shared" si="711"/>
        <v>0</v>
      </c>
      <c r="W163" s="203">
        <f t="shared" si="711"/>
        <v>0</v>
      </c>
      <c r="X163" s="205">
        <f t="shared" ref="X163:Y163" si="712">IF(O163&gt;0,O163/K163,0)</f>
        <v>0</v>
      </c>
      <c r="Y163" s="205">
        <f t="shared" si="712"/>
        <v>0</v>
      </c>
      <c r="Z163" s="205">
        <f t="shared" si="5"/>
        <v>1</v>
      </c>
      <c r="AA163" s="203">
        <f t="shared" ref="AA163:BW163" si="713">SUM(AA164)</f>
        <v>0</v>
      </c>
      <c r="AB163" s="203">
        <f t="shared" si="713"/>
        <v>0</v>
      </c>
      <c r="AC163" s="203">
        <f t="shared" si="713"/>
        <v>0</v>
      </c>
      <c r="AD163" s="203">
        <f t="shared" si="713"/>
        <v>0</v>
      </c>
      <c r="AE163" s="203">
        <f t="shared" si="713"/>
        <v>0</v>
      </c>
      <c r="AF163" s="203">
        <f t="shared" si="713"/>
        <v>0</v>
      </c>
      <c r="AG163" s="203">
        <f t="shared" si="713"/>
        <v>0</v>
      </c>
      <c r="AH163" s="203">
        <f t="shared" si="713"/>
        <v>0</v>
      </c>
      <c r="AI163" s="203">
        <f t="shared" si="713"/>
        <v>0</v>
      </c>
      <c r="AJ163" s="203">
        <f t="shared" si="713"/>
        <v>0</v>
      </c>
      <c r="AK163" s="203">
        <f t="shared" si="713"/>
        <v>0</v>
      </c>
      <c r="AL163" s="203">
        <f t="shared" si="713"/>
        <v>0</v>
      </c>
      <c r="AM163" s="203">
        <f t="shared" si="713"/>
        <v>0</v>
      </c>
      <c r="AN163" s="203">
        <f t="shared" si="713"/>
        <v>0</v>
      </c>
      <c r="AO163" s="203">
        <f t="shared" si="713"/>
        <v>0</v>
      </c>
      <c r="AP163" s="203">
        <f t="shared" si="713"/>
        <v>0</v>
      </c>
      <c r="AQ163" s="203">
        <f t="shared" si="713"/>
        <v>0</v>
      </c>
      <c r="AR163" s="203">
        <f t="shared" si="713"/>
        <v>0</v>
      </c>
      <c r="AS163" s="203">
        <f t="shared" si="713"/>
        <v>0</v>
      </c>
      <c r="AT163" s="203">
        <f t="shared" si="713"/>
        <v>0</v>
      </c>
      <c r="AU163" s="203">
        <f t="shared" si="713"/>
        <v>0</v>
      </c>
      <c r="AV163" s="203">
        <f t="shared" si="713"/>
        <v>0</v>
      </c>
      <c r="AW163" s="203">
        <f t="shared" si="713"/>
        <v>0</v>
      </c>
      <c r="AX163" s="203">
        <f t="shared" si="713"/>
        <v>0</v>
      </c>
      <c r="AY163" s="203">
        <f t="shared" si="713"/>
        <v>0</v>
      </c>
      <c r="AZ163" s="203">
        <f t="shared" si="713"/>
        <v>0</v>
      </c>
      <c r="BA163" s="203">
        <f t="shared" si="713"/>
        <v>0</v>
      </c>
      <c r="BB163" s="203">
        <f t="shared" si="713"/>
        <v>0</v>
      </c>
      <c r="BC163" s="203">
        <f t="shared" si="713"/>
        <v>0</v>
      </c>
      <c r="BD163" s="203">
        <f t="shared" si="713"/>
        <v>0</v>
      </c>
      <c r="BE163" s="203">
        <f t="shared" si="713"/>
        <v>0</v>
      </c>
      <c r="BF163" s="203">
        <f t="shared" si="713"/>
        <v>0</v>
      </c>
      <c r="BG163" s="203">
        <f t="shared" si="713"/>
        <v>0</v>
      </c>
      <c r="BH163" s="203">
        <f t="shared" si="713"/>
        <v>0</v>
      </c>
      <c r="BI163" s="203">
        <f t="shared" si="713"/>
        <v>0</v>
      </c>
      <c r="BJ163" s="203">
        <f t="shared" si="713"/>
        <v>3798</v>
      </c>
      <c r="BK163" s="203">
        <f t="shared" si="713"/>
        <v>0</v>
      </c>
      <c r="BL163" s="203">
        <f t="shared" si="713"/>
        <v>0</v>
      </c>
      <c r="BM163" s="203">
        <f t="shared" si="713"/>
        <v>3798</v>
      </c>
      <c r="BN163" s="203">
        <f t="shared" si="713"/>
        <v>0</v>
      </c>
      <c r="BO163" s="203">
        <f t="shared" si="713"/>
        <v>0</v>
      </c>
      <c r="BP163" s="203">
        <f t="shared" si="713"/>
        <v>0</v>
      </c>
      <c r="BQ163" s="203">
        <f t="shared" si="713"/>
        <v>0</v>
      </c>
      <c r="BR163" s="203">
        <f t="shared" si="713"/>
        <v>0</v>
      </c>
      <c r="BS163" s="203">
        <f t="shared" si="713"/>
        <v>0</v>
      </c>
      <c r="BT163" s="203">
        <f t="shared" si="713"/>
        <v>0</v>
      </c>
      <c r="BU163" s="203">
        <f t="shared" si="713"/>
        <v>0</v>
      </c>
      <c r="BV163" s="203">
        <f t="shared" si="713"/>
        <v>0</v>
      </c>
      <c r="BW163" s="203">
        <f t="shared" si="713"/>
        <v>0</v>
      </c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</row>
    <row r="164" spans="1:85" ht="31.5">
      <c r="A164" s="214" t="s">
        <v>412</v>
      </c>
      <c r="B164" s="132"/>
      <c r="C164" s="129" t="s">
        <v>413</v>
      </c>
      <c r="D164" s="126" t="s">
        <v>414</v>
      </c>
      <c r="E164" s="70"/>
      <c r="F164" s="71"/>
      <c r="G164" s="71">
        <f>E164-F164</f>
        <v>0</v>
      </c>
      <c r="H164" s="70"/>
      <c r="I164" s="72">
        <f t="shared" si="45"/>
        <v>0</v>
      </c>
      <c r="J164" s="72">
        <f t="shared" si="46"/>
        <v>0</v>
      </c>
      <c r="K164" s="215"/>
      <c r="L164" s="81"/>
      <c r="M164" s="81"/>
      <c r="N164" s="73">
        <v>3798</v>
      </c>
      <c r="O164" s="77">
        <f t="shared" ref="O164:Q164" si="714">AA164+AD164+AG164+AJ164+AM164+AP164+AS164+AV164+AY164+BB164+BE164+BH164</f>
        <v>0</v>
      </c>
      <c r="P164" s="77">
        <f t="shared" si="714"/>
        <v>0</v>
      </c>
      <c r="Q164" s="77">
        <f t="shared" si="714"/>
        <v>3798</v>
      </c>
      <c r="R164" s="77">
        <f t="shared" ref="R164:T164" si="715">IF(BK164=0,SUM(AA164+AD164+AG164+AJ164+AM164+AP164+AS164+AV164+AY164+BB164+BE164+BH164),BK164)</f>
        <v>0</v>
      </c>
      <c r="S164" s="77">
        <f t="shared" si="715"/>
        <v>0</v>
      </c>
      <c r="T164" s="77">
        <f t="shared" si="715"/>
        <v>3798</v>
      </c>
      <c r="U164" s="79">
        <f>K164-O164</f>
        <v>0</v>
      </c>
      <c r="V164" s="79">
        <f>L164-M164-S164</f>
        <v>0</v>
      </c>
      <c r="W164" s="78">
        <f>N164-Q164</f>
        <v>0</v>
      </c>
      <c r="X164" s="80">
        <f t="shared" ref="X164:Y164" si="716">IF(O164&gt;0,O164/K164,0)</f>
        <v>0</v>
      </c>
      <c r="Y164" s="80">
        <f t="shared" si="716"/>
        <v>0</v>
      </c>
      <c r="Z164" s="80">
        <f t="shared" si="5"/>
        <v>1</v>
      </c>
      <c r="AA164" s="81"/>
      <c r="AB164" s="82"/>
      <c r="AC164" s="81"/>
      <c r="AD164" s="81"/>
      <c r="AE164" s="83"/>
      <c r="AF164" s="83"/>
      <c r="AG164" s="83"/>
      <c r="AH164" s="83"/>
      <c r="AI164" s="81"/>
      <c r="AJ164" s="81"/>
      <c r="AK164" s="81"/>
      <c r="AL164" s="81"/>
      <c r="AM164" s="81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1"/>
      <c r="BE164" s="81"/>
      <c r="BF164" s="81"/>
      <c r="BG164" s="81"/>
      <c r="BH164" s="81"/>
      <c r="BI164" s="81"/>
      <c r="BJ164" s="81">
        <f>3798</f>
        <v>3798</v>
      </c>
      <c r="BK164" s="82">
        <v>0</v>
      </c>
      <c r="BL164" s="82">
        <v>0</v>
      </c>
      <c r="BM164" s="82">
        <v>3798</v>
      </c>
      <c r="BN164" s="81">
        <f>IF(O164-BK164&gt;0,O164-BK164,0)</f>
        <v>0</v>
      </c>
      <c r="BO164" s="75">
        <f>IF(Q164-BM164&gt;0,Q164-BM164,0)</f>
        <v>0</v>
      </c>
      <c r="BP164" s="81">
        <f>IF(BN164+BO164&gt;0,BN164+BO164,0)</f>
        <v>0</v>
      </c>
      <c r="BQ164" s="81">
        <f>IF(U164=0,0,U164)</f>
        <v>0</v>
      </c>
      <c r="BR164" s="81">
        <f>IF(W164=0,0,W164)</f>
        <v>0</v>
      </c>
      <c r="BS164" s="81">
        <f>IF(BQ164+BR164&gt;0,BQ164+BR164,0)</f>
        <v>0</v>
      </c>
      <c r="BT164" s="81">
        <f>IF(V164&gt;0,V164,0)</f>
        <v>0</v>
      </c>
      <c r="BU164" s="81">
        <f>IF(BP164=0,0,BP164)</f>
        <v>0</v>
      </c>
      <c r="BV164" s="81">
        <f>IF(BS164=0,0,BS164)</f>
        <v>0</v>
      </c>
      <c r="BW164" s="81">
        <f>IF(BP164+BT164+BV164&gt;0,BP164+BT164+BV164,0)</f>
        <v>0</v>
      </c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</row>
    <row r="165" spans="1:85" ht="15.75" customHeight="1">
      <c r="A165" s="217"/>
      <c r="B165" s="218"/>
      <c r="C165" s="219"/>
      <c r="D165" s="220"/>
      <c r="E165" s="221"/>
      <c r="F165" s="221"/>
      <c r="G165" s="221"/>
      <c r="H165" s="221"/>
      <c r="I165" s="222"/>
      <c r="J165" s="222"/>
      <c r="K165" s="223"/>
      <c r="L165" s="221"/>
      <c r="M165" s="221"/>
      <c r="N165" s="223"/>
      <c r="O165" s="221"/>
      <c r="P165" s="221"/>
      <c r="Q165" s="221"/>
      <c r="R165" s="221"/>
      <c r="S165" s="221"/>
      <c r="T165" s="221"/>
      <c r="U165" s="221"/>
      <c r="V165" s="221"/>
      <c r="W165" s="221"/>
      <c r="X165" s="224"/>
      <c r="Y165" s="224"/>
      <c r="Z165" s="224"/>
      <c r="AA165" s="221"/>
      <c r="AB165" s="221"/>
      <c r="AC165" s="221"/>
      <c r="AD165" s="221"/>
      <c r="AE165" s="221"/>
      <c r="AF165" s="221"/>
      <c r="AG165" s="221"/>
      <c r="AH165" s="221"/>
      <c r="AI165" s="221"/>
      <c r="AJ165" s="221"/>
      <c r="AK165" s="221"/>
      <c r="AL165" s="221"/>
      <c r="AM165" s="221"/>
      <c r="AN165" s="221"/>
      <c r="AO165" s="221"/>
      <c r="AP165" s="221"/>
      <c r="AQ165" s="221"/>
      <c r="AR165" s="221"/>
      <c r="AS165" s="221"/>
      <c r="AT165" s="221"/>
      <c r="AU165" s="221"/>
      <c r="AV165" s="221"/>
      <c r="AW165" s="221"/>
      <c r="AX165" s="221"/>
      <c r="AY165" s="221"/>
      <c r="AZ165" s="221"/>
      <c r="BA165" s="221"/>
      <c r="BB165" s="221"/>
      <c r="BC165" s="221"/>
      <c r="BD165" s="221"/>
      <c r="BE165" s="221"/>
      <c r="BF165" s="221"/>
      <c r="BG165" s="221"/>
      <c r="BH165" s="221"/>
      <c r="BI165" s="221"/>
      <c r="BJ165" s="221"/>
      <c r="BK165" s="221"/>
      <c r="BL165" s="221"/>
      <c r="BM165" s="221"/>
      <c r="BN165" s="221"/>
      <c r="BO165" s="221"/>
      <c r="BP165" s="221"/>
      <c r="BQ165" s="221"/>
      <c r="BR165" s="221"/>
      <c r="BS165" s="221"/>
      <c r="BT165" s="221"/>
      <c r="BU165" s="221"/>
      <c r="BV165" s="221"/>
      <c r="BW165" s="221"/>
      <c r="BX165" s="1"/>
      <c r="BY165" s="1"/>
      <c r="BZ165" s="1"/>
      <c r="CA165" s="1"/>
      <c r="CB165" s="1"/>
      <c r="CC165" s="1"/>
      <c r="CD165" s="1"/>
      <c r="CE165" s="1"/>
      <c r="CF165" s="1"/>
      <c r="CG165" s="1"/>
    </row>
    <row r="166" spans="1:85" ht="15.75" customHeight="1">
      <c r="A166" s="47"/>
      <c r="B166" s="48" t="s">
        <v>415</v>
      </c>
      <c r="C166" s="225"/>
      <c r="D166" s="50"/>
      <c r="E166" s="51">
        <f t="shared" ref="E166:H166" si="717">E167+E184+E195+E204+E216+E246+E259</f>
        <v>417587.57999999996</v>
      </c>
      <c r="F166" s="51">
        <f t="shared" si="717"/>
        <v>156211.538</v>
      </c>
      <c r="G166" s="51">
        <f t="shared" si="717"/>
        <v>261376.04200000002</v>
      </c>
      <c r="H166" s="51">
        <f t="shared" si="717"/>
        <v>350000</v>
      </c>
      <c r="I166" s="99">
        <f>K166/G166</f>
        <v>0.50805325914300903</v>
      </c>
      <c r="J166" s="99">
        <f>O166/G166</f>
        <v>0.41979513179712163</v>
      </c>
      <c r="K166" s="51">
        <f t="shared" ref="K166:W166" si="718">K167+K184+K195+K204+K216+K246+K259</f>
        <v>132792.95000000001</v>
      </c>
      <c r="L166" s="51">
        <f t="shared" si="718"/>
        <v>940496.14999999991</v>
      </c>
      <c r="M166" s="51">
        <f t="shared" si="718"/>
        <v>19448.740000000002</v>
      </c>
      <c r="N166" s="51">
        <f t="shared" si="718"/>
        <v>112698.02</v>
      </c>
      <c r="O166" s="51">
        <f t="shared" si="718"/>
        <v>109724.39</v>
      </c>
      <c r="P166" s="51">
        <f t="shared" si="718"/>
        <v>708919.3</v>
      </c>
      <c r="Q166" s="51">
        <f t="shared" si="718"/>
        <v>73683.02</v>
      </c>
      <c r="R166" s="51">
        <f t="shared" si="718"/>
        <v>109724.39</v>
      </c>
      <c r="S166" s="51">
        <f t="shared" si="718"/>
        <v>708919.3</v>
      </c>
      <c r="T166" s="51">
        <f t="shared" si="718"/>
        <v>73683.02</v>
      </c>
      <c r="U166" s="51">
        <f t="shared" si="718"/>
        <v>23068.560000000001</v>
      </c>
      <c r="V166" s="51">
        <f t="shared" si="718"/>
        <v>212128.11</v>
      </c>
      <c r="W166" s="51">
        <f t="shared" si="718"/>
        <v>39015</v>
      </c>
      <c r="X166" s="53">
        <f t="shared" ref="X166:Y166" si="719">IF(O166&gt;0,O166/K166,0)</f>
        <v>0.82628174161354195</v>
      </c>
      <c r="Y166" s="53">
        <f t="shared" si="719"/>
        <v>0.75377161299384388</v>
      </c>
      <c r="Z166" s="53">
        <f t="shared" ref="Z166:Z278" si="720">IF(Q166&gt;0,Q166/N166,0)</f>
        <v>0.65380935707654853</v>
      </c>
      <c r="AA166" s="51">
        <f t="shared" ref="AA166:BW166" si="721">AA167+AA184+AA195+AA204+AA216+AA246+AA259</f>
        <v>0</v>
      </c>
      <c r="AB166" s="51">
        <f t="shared" si="721"/>
        <v>99398</v>
      </c>
      <c r="AC166" s="51">
        <f t="shared" si="721"/>
        <v>0</v>
      </c>
      <c r="AD166" s="51">
        <f t="shared" si="721"/>
        <v>8199.9</v>
      </c>
      <c r="AE166" s="51">
        <f t="shared" si="721"/>
        <v>40780.520000000004</v>
      </c>
      <c r="AF166" s="51">
        <f t="shared" si="721"/>
        <v>0</v>
      </c>
      <c r="AG166" s="51">
        <f t="shared" si="721"/>
        <v>1587.98</v>
      </c>
      <c r="AH166" s="51">
        <f t="shared" si="721"/>
        <v>386183.42000000004</v>
      </c>
      <c r="AI166" s="51">
        <f t="shared" si="721"/>
        <v>0</v>
      </c>
      <c r="AJ166" s="51">
        <f t="shared" si="721"/>
        <v>10806.359999999999</v>
      </c>
      <c r="AK166" s="51">
        <f t="shared" si="721"/>
        <v>7976.24</v>
      </c>
      <c r="AL166" s="51">
        <f t="shared" si="721"/>
        <v>0</v>
      </c>
      <c r="AM166" s="51">
        <f t="shared" si="721"/>
        <v>9745.3599999999988</v>
      </c>
      <c r="AN166" s="51">
        <f t="shared" si="721"/>
        <v>1135.52</v>
      </c>
      <c r="AO166" s="51">
        <f t="shared" si="721"/>
        <v>0</v>
      </c>
      <c r="AP166" s="51">
        <f t="shared" si="721"/>
        <v>19933.68</v>
      </c>
      <c r="AQ166" s="51">
        <f t="shared" si="721"/>
        <v>3946.52</v>
      </c>
      <c r="AR166" s="51">
        <f t="shared" si="721"/>
        <v>0</v>
      </c>
      <c r="AS166" s="51">
        <f t="shared" si="721"/>
        <v>7237.43</v>
      </c>
      <c r="AT166" s="51">
        <f t="shared" si="721"/>
        <v>12654.52</v>
      </c>
      <c r="AU166" s="51">
        <f t="shared" si="721"/>
        <v>44500</v>
      </c>
      <c r="AV166" s="51">
        <f t="shared" si="721"/>
        <v>8463.92</v>
      </c>
      <c r="AW166" s="51">
        <f t="shared" si="721"/>
        <v>155735.51999999999</v>
      </c>
      <c r="AX166" s="51">
        <f t="shared" si="721"/>
        <v>11932</v>
      </c>
      <c r="AY166" s="51">
        <f t="shared" si="721"/>
        <v>6883.71</v>
      </c>
      <c r="AZ166" s="51">
        <f t="shared" si="721"/>
        <v>554.52</v>
      </c>
      <c r="BA166" s="51">
        <f t="shared" si="721"/>
        <v>0</v>
      </c>
      <c r="BB166" s="51">
        <f t="shared" si="721"/>
        <v>11721.2</v>
      </c>
      <c r="BC166" s="51">
        <f t="shared" si="721"/>
        <v>554.52</v>
      </c>
      <c r="BD166" s="51">
        <f t="shared" si="721"/>
        <v>4751.0200000000004</v>
      </c>
      <c r="BE166" s="51">
        <f t="shared" si="721"/>
        <v>5678.83</v>
      </c>
      <c r="BF166" s="51">
        <f t="shared" si="721"/>
        <v>0</v>
      </c>
      <c r="BG166" s="51">
        <f t="shared" si="721"/>
        <v>5000</v>
      </c>
      <c r="BH166" s="51">
        <f t="shared" si="721"/>
        <v>19466.02</v>
      </c>
      <c r="BI166" s="51">
        <f t="shared" si="721"/>
        <v>0</v>
      </c>
      <c r="BJ166" s="51">
        <f t="shared" si="721"/>
        <v>7500</v>
      </c>
      <c r="BK166" s="51">
        <f t="shared" si="721"/>
        <v>109724.39</v>
      </c>
      <c r="BL166" s="51">
        <f t="shared" si="721"/>
        <v>684103.49</v>
      </c>
      <c r="BM166" s="51">
        <f t="shared" si="721"/>
        <v>73683.02</v>
      </c>
      <c r="BN166" s="51">
        <f t="shared" si="721"/>
        <v>0</v>
      </c>
      <c r="BO166" s="51">
        <f t="shared" si="721"/>
        <v>0</v>
      </c>
      <c r="BP166" s="51">
        <f t="shared" si="721"/>
        <v>0</v>
      </c>
      <c r="BQ166" s="51">
        <f t="shared" si="721"/>
        <v>23068.560000000001</v>
      </c>
      <c r="BR166" s="51">
        <f t="shared" si="721"/>
        <v>39015</v>
      </c>
      <c r="BS166" s="51">
        <f t="shared" si="721"/>
        <v>62083.56</v>
      </c>
      <c r="BT166" s="51">
        <f t="shared" si="721"/>
        <v>212128.11</v>
      </c>
      <c r="BU166" s="51">
        <f t="shared" si="721"/>
        <v>0</v>
      </c>
      <c r="BV166" s="51">
        <f t="shared" si="721"/>
        <v>62083.56</v>
      </c>
      <c r="BW166" s="51">
        <f t="shared" si="721"/>
        <v>274211.67</v>
      </c>
      <c r="BX166" s="1"/>
      <c r="BY166" s="1"/>
      <c r="BZ166" s="1"/>
      <c r="CA166" s="1"/>
      <c r="CB166" s="1"/>
      <c r="CC166" s="1"/>
      <c r="CD166" s="1"/>
      <c r="CE166" s="1"/>
      <c r="CF166" s="1"/>
      <c r="CG166" s="1"/>
    </row>
    <row r="167" spans="1:85" ht="15.75" customHeight="1">
      <c r="A167" s="226"/>
      <c r="B167" s="227"/>
      <c r="C167" s="228"/>
      <c r="D167" s="229" t="s">
        <v>126</v>
      </c>
      <c r="E167" s="104">
        <f t="shared" ref="E167:H167" si="722">E168+E171+E175</f>
        <v>28000</v>
      </c>
      <c r="F167" s="104">
        <f t="shared" si="722"/>
        <v>0</v>
      </c>
      <c r="G167" s="104">
        <f t="shared" si="722"/>
        <v>28000</v>
      </c>
      <c r="H167" s="104">
        <f t="shared" si="722"/>
        <v>0</v>
      </c>
      <c r="I167" s="105">
        <f t="shared" ref="I167:I278" si="723">IF(G167&gt;0,K167/G167,0)</f>
        <v>0.65210714285714289</v>
      </c>
      <c r="J167" s="105">
        <f t="shared" ref="J167:J278" si="724">IF(G167&gt;0,O167/G167,0)</f>
        <v>0.65210714285714289</v>
      </c>
      <c r="K167" s="104">
        <f t="shared" ref="K167:W167" si="725">K168+K171+K175</f>
        <v>18259</v>
      </c>
      <c r="L167" s="104">
        <f t="shared" si="725"/>
        <v>736719.34</v>
      </c>
      <c r="M167" s="104">
        <f t="shared" si="725"/>
        <v>0</v>
      </c>
      <c r="N167" s="104">
        <f t="shared" si="725"/>
        <v>0</v>
      </c>
      <c r="O167" s="104">
        <f t="shared" si="725"/>
        <v>18259</v>
      </c>
      <c r="P167" s="104">
        <f t="shared" si="725"/>
        <v>525866.23</v>
      </c>
      <c r="Q167" s="104">
        <f t="shared" si="725"/>
        <v>0</v>
      </c>
      <c r="R167" s="104">
        <f t="shared" si="725"/>
        <v>18259</v>
      </c>
      <c r="S167" s="104">
        <f t="shared" si="725"/>
        <v>525866.23</v>
      </c>
      <c r="T167" s="104">
        <f t="shared" si="725"/>
        <v>0</v>
      </c>
      <c r="U167" s="104">
        <f t="shared" si="725"/>
        <v>0</v>
      </c>
      <c r="V167" s="104">
        <f t="shared" si="725"/>
        <v>210853.11</v>
      </c>
      <c r="W167" s="104">
        <f t="shared" si="725"/>
        <v>0</v>
      </c>
      <c r="X167" s="106">
        <f t="shared" ref="X167:Y167" si="726">IF(O167&gt;0,O167/K167,0)</f>
        <v>1</v>
      </c>
      <c r="Y167" s="106">
        <f t="shared" si="726"/>
        <v>0.71379452316264702</v>
      </c>
      <c r="Z167" s="106">
        <f t="shared" si="720"/>
        <v>0</v>
      </c>
      <c r="AA167" s="104">
        <f t="shared" ref="AA167:BW167" si="727">AA168+AA171+AA175</f>
        <v>0</v>
      </c>
      <c r="AB167" s="104">
        <f t="shared" si="727"/>
        <v>97648</v>
      </c>
      <c r="AC167" s="104">
        <f t="shared" si="727"/>
        <v>0</v>
      </c>
      <c r="AD167" s="104">
        <f t="shared" si="727"/>
        <v>0</v>
      </c>
      <c r="AE167" s="104">
        <f t="shared" si="727"/>
        <v>25288.23</v>
      </c>
      <c r="AF167" s="104">
        <f t="shared" si="727"/>
        <v>0</v>
      </c>
      <c r="AG167" s="104">
        <f t="shared" si="727"/>
        <v>0</v>
      </c>
      <c r="AH167" s="104">
        <f t="shared" si="727"/>
        <v>249850</v>
      </c>
      <c r="AI167" s="104">
        <f t="shared" si="727"/>
        <v>0</v>
      </c>
      <c r="AJ167" s="104">
        <f t="shared" si="727"/>
        <v>0</v>
      </c>
      <c r="AK167" s="104">
        <f t="shared" si="727"/>
        <v>0</v>
      </c>
      <c r="AL167" s="104">
        <f t="shared" si="727"/>
        <v>0</v>
      </c>
      <c r="AM167" s="104">
        <f t="shared" si="727"/>
        <v>469.46</v>
      </c>
      <c r="AN167" s="104">
        <f t="shared" si="727"/>
        <v>0</v>
      </c>
      <c r="AO167" s="104">
        <f t="shared" si="727"/>
        <v>0</v>
      </c>
      <c r="AP167" s="104">
        <f t="shared" si="727"/>
        <v>67.680000000000007</v>
      </c>
      <c r="AQ167" s="104">
        <f t="shared" si="727"/>
        <v>0</v>
      </c>
      <c r="AR167" s="104">
        <f t="shared" si="727"/>
        <v>0</v>
      </c>
      <c r="AS167" s="104">
        <f t="shared" si="727"/>
        <v>513.70999999999992</v>
      </c>
      <c r="AT167" s="104">
        <f t="shared" si="727"/>
        <v>0</v>
      </c>
      <c r="AU167" s="104">
        <f t="shared" si="727"/>
        <v>0</v>
      </c>
      <c r="AV167" s="104">
        <f t="shared" si="727"/>
        <v>1640.9299999999998</v>
      </c>
      <c r="AW167" s="104">
        <f t="shared" si="727"/>
        <v>153080</v>
      </c>
      <c r="AX167" s="104">
        <f t="shared" si="727"/>
        <v>0</v>
      </c>
      <c r="AY167" s="104">
        <f t="shared" si="727"/>
        <v>513.71</v>
      </c>
      <c r="AZ167" s="104">
        <f t="shared" si="727"/>
        <v>0</v>
      </c>
      <c r="BA167" s="104">
        <f t="shared" si="727"/>
        <v>0</v>
      </c>
      <c r="BB167" s="104">
        <f t="shared" si="727"/>
        <v>8325.2000000000007</v>
      </c>
      <c r="BC167" s="104">
        <f t="shared" si="727"/>
        <v>0</v>
      </c>
      <c r="BD167" s="104">
        <f t="shared" si="727"/>
        <v>0</v>
      </c>
      <c r="BE167" s="104">
        <f t="shared" si="727"/>
        <v>1728.31</v>
      </c>
      <c r="BF167" s="104">
        <f t="shared" si="727"/>
        <v>0</v>
      </c>
      <c r="BG167" s="104">
        <f t="shared" si="727"/>
        <v>0</v>
      </c>
      <c r="BH167" s="104">
        <f t="shared" si="727"/>
        <v>5000</v>
      </c>
      <c r="BI167" s="104">
        <f t="shared" si="727"/>
        <v>0</v>
      </c>
      <c r="BJ167" s="104">
        <f t="shared" si="727"/>
        <v>0</v>
      </c>
      <c r="BK167" s="104">
        <f t="shared" si="727"/>
        <v>18259</v>
      </c>
      <c r="BL167" s="104">
        <f t="shared" si="727"/>
        <v>525866.23</v>
      </c>
      <c r="BM167" s="104">
        <f t="shared" si="727"/>
        <v>0</v>
      </c>
      <c r="BN167" s="104">
        <f t="shared" si="727"/>
        <v>0</v>
      </c>
      <c r="BO167" s="104">
        <f t="shared" si="727"/>
        <v>0</v>
      </c>
      <c r="BP167" s="104">
        <f t="shared" si="727"/>
        <v>0</v>
      </c>
      <c r="BQ167" s="104">
        <f t="shared" si="727"/>
        <v>0</v>
      </c>
      <c r="BR167" s="104">
        <f t="shared" si="727"/>
        <v>0</v>
      </c>
      <c r="BS167" s="104">
        <f t="shared" si="727"/>
        <v>0</v>
      </c>
      <c r="BT167" s="104">
        <f t="shared" si="727"/>
        <v>210853.11</v>
      </c>
      <c r="BU167" s="104">
        <f t="shared" si="727"/>
        <v>0</v>
      </c>
      <c r="BV167" s="104">
        <f t="shared" si="727"/>
        <v>0</v>
      </c>
      <c r="BW167" s="104">
        <f t="shared" si="727"/>
        <v>210853.11</v>
      </c>
      <c r="BX167" s="1"/>
      <c r="BY167" s="1"/>
      <c r="BZ167" s="1"/>
      <c r="CA167" s="1"/>
      <c r="CB167" s="1"/>
      <c r="CC167" s="1"/>
      <c r="CD167" s="1"/>
      <c r="CE167" s="1"/>
      <c r="CF167" s="1"/>
      <c r="CG167" s="1"/>
    </row>
    <row r="168" spans="1:85" ht="15.75">
      <c r="A168" s="109"/>
      <c r="B168" s="110"/>
      <c r="C168" s="111"/>
      <c r="D168" s="112" t="s">
        <v>116</v>
      </c>
      <c r="E168" s="58">
        <f t="shared" ref="E168:H168" si="728">SUM(E169:E170)</f>
        <v>8000</v>
      </c>
      <c r="F168" s="59">
        <f t="shared" si="728"/>
        <v>0</v>
      </c>
      <c r="G168" s="59">
        <f t="shared" si="728"/>
        <v>8000</v>
      </c>
      <c r="H168" s="59">
        <f t="shared" si="728"/>
        <v>0</v>
      </c>
      <c r="I168" s="60">
        <f t="shared" si="723"/>
        <v>0.61737500000000001</v>
      </c>
      <c r="J168" s="60">
        <f t="shared" si="724"/>
        <v>0.61737500000000001</v>
      </c>
      <c r="K168" s="59">
        <f t="shared" ref="K168:W168" si="729">SUM(K169:K170)</f>
        <v>4939</v>
      </c>
      <c r="L168" s="59">
        <f t="shared" si="729"/>
        <v>0</v>
      </c>
      <c r="M168" s="59">
        <f t="shared" si="729"/>
        <v>0</v>
      </c>
      <c r="N168" s="59">
        <f t="shared" si="729"/>
        <v>0</v>
      </c>
      <c r="O168" s="59">
        <f t="shared" si="729"/>
        <v>4939</v>
      </c>
      <c r="P168" s="59">
        <f t="shared" si="729"/>
        <v>0</v>
      </c>
      <c r="Q168" s="59">
        <f t="shared" si="729"/>
        <v>0</v>
      </c>
      <c r="R168" s="59">
        <f t="shared" si="729"/>
        <v>4939</v>
      </c>
      <c r="S168" s="59">
        <f t="shared" si="729"/>
        <v>0</v>
      </c>
      <c r="T168" s="59">
        <f t="shared" si="729"/>
        <v>0</v>
      </c>
      <c r="U168" s="59">
        <f t="shared" si="729"/>
        <v>0</v>
      </c>
      <c r="V168" s="59">
        <f t="shared" si="729"/>
        <v>0</v>
      </c>
      <c r="W168" s="59">
        <f t="shared" si="729"/>
        <v>0</v>
      </c>
      <c r="X168" s="63">
        <f t="shared" ref="X168:Y168" si="730">IF(O168&gt;0,O168/K168,0)</f>
        <v>1</v>
      </c>
      <c r="Y168" s="63">
        <f t="shared" si="730"/>
        <v>0</v>
      </c>
      <c r="Z168" s="63">
        <f t="shared" si="720"/>
        <v>0</v>
      </c>
      <c r="AA168" s="59">
        <f t="shared" ref="AA168:BW168" si="731">SUM(AA169:AA170)</f>
        <v>0</v>
      </c>
      <c r="AB168" s="59">
        <f t="shared" si="731"/>
        <v>0</v>
      </c>
      <c r="AC168" s="59">
        <f t="shared" si="731"/>
        <v>0</v>
      </c>
      <c r="AD168" s="59">
        <f t="shared" si="731"/>
        <v>0</v>
      </c>
      <c r="AE168" s="59">
        <f t="shared" si="731"/>
        <v>0</v>
      </c>
      <c r="AF168" s="59">
        <f t="shared" si="731"/>
        <v>0</v>
      </c>
      <c r="AG168" s="59">
        <f t="shared" si="731"/>
        <v>0</v>
      </c>
      <c r="AH168" s="59">
        <f t="shared" si="731"/>
        <v>0</v>
      </c>
      <c r="AI168" s="59">
        <f t="shared" si="731"/>
        <v>0</v>
      </c>
      <c r="AJ168" s="59">
        <f t="shared" si="731"/>
        <v>0</v>
      </c>
      <c r="AK168" s="59">
        <f t="shared" si="731"/>
        <v>0</v>
      </c>
      <c r="AL168" s="59">
        <f t="shared" si="731"/>
        <v>0</v>
      </c>
      <c r="AM168" s="59">
        <f t="shared" si="731"/>
        <v>469.46</v>
      </c>
      <c r="AN168" s="59">
        <f t="shared" si="731"/>
        <v>0</v>
      </c>
      <c r="AO168" s="59">
        <f t="shared" si="731"/>
        <v>0</v>
      </c>
      <c r="AP168" s="59">
        <f t="shared" si="731"/>
        <v>67.680000000000007</v>
      </c>
      <c r="AQ168" s="59">
        <f t="shared" si="731"/>
        <v>0</v>
      </c>
      <c r="AR168" s="59">
        <f t="shared" si="731"/>
        <v>0</v>
      </c>
      <c r="AS168" s="59">
        <f t="shared" si="731"/>
        <v>513.70999999999992</v>
      </c>
      <c r="AT168" s="59">
        <f t="shared" si="731"/>
        <v>0</v>
      </c>
      <c r="AU168" s="59">
        <f t="shared" si="731"/>
        <v>0</v>
      </c>
      <c r="AV168" s="59">
        <f t="shared" si="731"/>
        <v>1640.9299999999998</v>
      </c>
      <c r="AW168" s="59">
        <f t="shared" si="731"/>
        <v>0</v>
      </c>
      <c r="AX168" s="59">
        <f t="shared" si="731"/>
        <v>0</v>
      </c>
      <c r="AY168" s="59">
        <f t="shared" si="731"/>
        <v>513.71</v>
      </c>
      <c r="AZ168" s="59">
        <f t="shared" si="731"/>
        <v>0</v>
      </c>
      <c r="BA168" s="59">
        <f t="shared" si="731"/>
        <v>0</v>
      </c>
      <c r="BB168" s="59">
        <f t="shared" si="731"/>
        <v>525.19999999999993</v>
      </c>
      <c r="BC168" s="59">
        <f t="shared" si="731"/>
        <v>0</v>
      </c>
      <c r="BD168" s="59">
        <f t="shared" si="731"/>
        <v>0</v>
      </c>
      <c r="BE168" s="59">
        <f t="shared" si="731"/>
        <v>1208.31</v>
      </c>
      <c r="BF168" s="59">
        <f t="shared" si="731"/>
        <v>0</v>
      </c>
      <c r="BG168" s="59">
        <f t="shared" si="731"/>
        <v>0</v>
      </c>
      <c r="BH168" s="59">
        <f t="shared" si="731"/>
        <v>0</v>
      </c>
      <c r="BI168" s="59">
        <f t="shared" si="731"/>
        <v>0</v>
      </c>
      <c r="BJ168" s="59">
        <f t="shared" si="731"/>
        <v>0</v>
      </c>
      <c r="BK168" s="59">
        <f t="shared" si="731"/>
        <v>4939</v>
      </c>
      <c r="BL168" s="59">
        <f t="shared" si="731"/>
        <v>0</v>
      </c>
      <c r="BM168" s="59">
        <f t="shared" si="731"/>
        <v>0</v>
      </c>
      <c r="BN168" s="59">
        <f t="shared" si="731"/>
        <v>0</v>
      </c>
      <c r="BO168" s="59">
        <f t="shared" si="731"/>
        <v>0</v>
      </c>
      <c r="BP168" s="59">
        <f t="shared" si="731"/>
        <v>0</v>
      </c>
      <c r="BQ168" s="59">
        <f t="shared" si="731"/>
        <v>0</v>
      </c>
      <c r="BR168" s="59">
        <f t="shared" si="731"/>
        <v>0</v>
      </c>
      <c r="BS168" s="59">
        <f t="shared" si="731"/>
        <v>0</v>
      </c>
      <c r="BT168" s="59">
        <f t="shared" si="731"/>
        <v>0</v>
      </c>
      <c r="BU168" s="59">
        <f t="shared" si="731"/>
        <v>0</v>
      </c>
      <c r="BV168" s="59">
        <f t="shared" si="731"/>
        <v>0</v>
      </c>
      <c r="BW168" s="59">
        <f t="shared" si="731"/>
        <v>0</v>
      </c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</row>
    <row r="169" spans="1:85" ht="15.75" customHeight="1">
      <c r="A169" s="230" t="s">
        <v>416</v>
      </c>
      <c r="B169" s="230"/>
      <c r="C169" s="68" t="s">
        <v>118</v>
      </c>
      <c r="D169" s="69" t="s">
        <v>119</v>
      </c>
      <c r="E169" s="70">
        <f>5000</f>
        <v>5000</v>
      </c>
      <c r="F169" s="71"/>
      <c r="G169" s="71">
        <f t="shared" ref="G169:G170" si="732">E169-F169</f>
        <v>5000</v>
      </c>
      <c r="H169" s="70"/>
      <c r="I169" s="72">
        <f t="shared" si="723"/>
        <v>0.98780000000000001</v>
      </c>
      <c r="J169" s="72">
        <f t="shared" si="724"/>
        <v>0.98780000000000001</v>
      </c>
      <c r="K169" s="231">
        <f>2000+3000-61</f>
        <v>4939</v>
      </c>
      <c r="L169" s="81"/>
      <c r="M169" s="75"/>
      <c r="N169" s="76"/>
      <c r="O169" s="77">
        <f t="shared" ref="O169:Q169" si="733">AA169+AD169+AG169+AJ169+AM169+AP169+AS169+AV169+AY169+BB169+BE169+BH169</f>
        <v>4939</v>
      </c>
      <c r="P169" s="77">
        <f t="shared" si="733"/>
        <v>0</v>
      </c>
      <c r="Q169" s="77">
        <f t="shared" si="733"/>
        <v>0</v>
      </c>
      <c r="R169" s="77">
        <f t="shared" ref="R169:T169" si="734">IF(BK169=0,SUM(AA169+AD169+AG169+AJ169+AM169+AP169+AS169+AV169+AY169+BB169+BE169+BH169),BK169)</f>
        <v>4939</v>
      </c>
      <c r="S169" s="77">
        <f t="shared" si="734"/>
        <v>0</v>
      </c>
      <c r="T169" s="77">
        <f t="shared" si="734"/>
        <v>0</v>
      </c>
      <c r="U169" s="79">
        <f t="shared" ref="U169:U170" si="735">K169-O169</f>
        <v>0</v>
      </c>
      <c r="V169" s="79">
        <f t="shared" ref="V169:V170" si="736">L169-M169-S169</f>
        <v>0</v>
      </c>
      <c r="W169" s="79">
        <f t="shared" ref="W169:W170" si="737">N169-Q169</f>
        <v>0</v>
      </c>
      <c r="X169" s="80">
        <f t="shared" ref="X169:Y169" si="738">IF(O169&gt;0,O169/K169,0)</f>
        <v>1</v>
      </c>
      <c r="Y169" s="80">
        <f t="shared" si="738"/>
        <v>0</v>
      </c>
      <c r="Z169" s="80">
        <f t="shared" si="720"/>
        <v>0</v>
      </c>
      <c r="AA169" s="81"/>
      <c r="AB169" s="81"/>
      <c r="AC169" s="81"/>
      <c r="AD169" s="81"/>
      <c r="AE169" s="83"/>
      <c r="AF169" s="83"/>
      <c r="AG169" s="83"/>
      <c r="AH169" s="83"/>
      <c r="AI169" s="81"/>
      <c r="AJ169" s="81"/>
      <c r="AK169" s="81"/>
      <c r="AL169" s="81"/>
      <c r="AM169" s="81">
        <f>156.64+312.82</f>
        <v>469.46</v>
      </c>
      <c r="AN169" s="81"/>
      <c r="AO169" s="81"/>
      <c r="AP169" s="82">
        <v>67.680000000000007</v>
      </c>
      <c r="AQ169" s="81"/>
      <c r="AR169" s="81"/>
      <c r="AS169" s="81">
        <f>129.63+62.41+129.63+129.63+62.41</f>
        <v>513.70999999999992</v>
      </c>
      <c r="AT169" s="81"/>
      <c r="AU169" s="81"/>
      <c r="AV169" s="81">
        <f>555.35+116.28+70.01+70.01+70.01+629.64+129.63</f>
        <v>1640.9299999999998</v>
      </c>
      <c r="AW169" s="81"/>
      <c r="AX169" s="81"/>
      <c r="AY169" s="81">
        <f>62.41+62.41+129.63+129.63+129.63</f>
        <v>513.71</v>
      </c>
      <c r="AZ169" s="81"/>
      <c r="BA169" s="81"/>
      <c r="BB169" s="81">
        <f>115.49+409.71</f>
        <v>525.19999999999993</v>
      </c>
      <c r="BC169" s="81"/>
      <c r="BD169" s="81"/>
      <c r="BE169" s="81">
        <f>(129.63*3)+409.71+409.71</f>
        <v>1208.31</v>
      </c>
      <c r="BF169" s="81"/>
      <c r="BG169" s="81"/>
      <c r="BH169" s="81"/>
      <c r="BI169" s="81"/>
      <c r="BJ169" s="81"/>
      <c r="BK169" s="82">
        <v>4939</v>
      </c>
      <c r="BL169" s="82">
        <v>0</v>
      </c>
      <c r="BM169" s="82">
        <v>0</v>
      </c>
      <c r="BN169" s="81">
        <f t="shared" ref="BN169:BN170" si="739">IF(O169-BK169&gt;0,O169-BK169,0)</f>
        <v>0</v>
      </c>
      <c r="BO169" s="75">
        <f t="shared" ref="BO169:BO170" si="740">IF(Q169-BM169&gt;0,Q169-BM169,0)</f>
        <v>0</v>
      </c>
      <c r="BP169" s="81">
        <f t="shared" ref="BP169:BP170" si="741">IF(BN169+BO169&gt;0,BN169+BO169,0)</f>
        <v>0</v>
      </c>
      <c r="BQ169" s="81">
        <f t="shared" ref="BQ169:BQ170" si="742">IF(U169=0,0,U169)</f>
        <v>0</v>
      </c>
      <c r="BR169" s="81">
        <f t="shared" ref="BR169:BR170" si="743">IF(W169=0,0,W169)</f>
        <v>0</v>
      </c>
      <c r="BS169" s="81">
        <f t="shared" ref="BS169:BS170" si="744">IF(BQ169+BR169&gt;0,BQ169+BR169,0)</f>
        <v>0</v>
      </c>
      <c r="BT169" s="81">
        <f t="shared" ref="BT169:BT170" si="745">IF(V169&gt;0,V169,0)</f>
        <v>0</v>
      </c>
      <c r="BU169" s="81">
        <f t="shared" ref="BU169:BU170" si="746">IF(BP169=0,0,BP169)</f>
        <v>0</v>
      </c>
      <c r="BV169" s="81">
        <f t="shared" ref="BV169:BV170" si="747">IF(BS169=0,0,BS169)</f>
        <v>0</v>
      </c>
      <c r="BW169" s="81">
        <f t="shared" ref="BW169:BW170" si="748">IF(BP169+BT169+BV169&gt;0,BP169+BT169+BV169,0)</f>
        <v>0</v>
      </c>
      <c r="BX169" s="1"/>
      <c r="BY169" s="1"/>
      <c r="BZ169" s="1"/>
      <c r="CA169" s="1"/>
      <c r="CB169" s="1"/>
      <c r="CC169" s="1"/>
      <c r="CD169" s="1"/>
      <c r="CE169" s="1"/>
      <c r="CF169" s="1"/>
      <c r="CG169" s="1"/>
    </row>
    <row r="170" spans="1:85" ht="15.75" customHeight="1">
      <c r="A170" s="108"/>
      <c r="B170" s="90"/>
      <c r="C170" s="91" t="s">
        <v>123</v>
      </c>
      <c r="D170" s="92" t="s">
        <v>124</v>
      </c>
      <c r="E170" s="70">
        <v>3000</v>
      </c>
      <c r="F170" s="93">
        <v>0</v>
      </c>
      <c r="G170" s="71">
        <f t="shared" si="732"/>
        <v>3000</v>
      </c>
      <c r="H170" s="70"/>
      <c r="I170" s="72">
        <f t="shared" si="723"/>
        <v>0</v>
      </c>
      <c r="J170" s="72">
        <f t="shared" si="724"/>
        <v>0</v>
      </c>
      <c r="K170" s="88"/>
      <c r="L170" s="81"/>
      <c r="M170" s="75"/>
      <c r="N170" s="76"/>
      <c r="O170" s="77">
        <f t="shared" ref="O170:Q170" si="749">AA170+AD170+AG170+AJ170+AM170+AP170+AS170+AV170+AY170+BB170+BE170+BH170</f>
        <v>0</v>
      </c>
      <c r="P170" s="77">
        <f t="shared" si="749"/>
        <v>0</v>
      </c>
      <c r="Q170" s="77">
        <f t="shared" si="749"/>
        <v>0</v>
      </c>
      <c r="R170" s="77">
        <f t="shared" ref="R170:T170" si="750">IF(BK170=0,SUM(AA170+AD170+AG170+AJ170+AM170+AP170+AS170+AV170+AY170+BB170+BE170+BH170),BK170)</f>
        <v>0</v>
      </c>
      <c r="S170" s="77">
        <f t="shared" si="750"/>
        <v>0</v>
      </c>
      <c r="T170" s="77">
        <f t="shared" si="750"/>
        <v>0</v>
      </c>
      <c r="U170" s="79">
        <f t="shared" si="735"/>
        <v>0</v>
      </c>
      <c r="V170" s="79">
        <f t="shared" si="736"/>
        <v>0</v>
      </c>
      <c r="W170" s="79">
        <f t="shared" si="737"/>
        <v>0</v>
      </c>
      <c r="X170" s="80">
        <f t="shared" ref="X170:Y170" si="751">IF(O170&gt;0,O170/K170,0)</f>
        <v>0</v>
      </c>
      <c r="Y170" s="80">
        <f t="shared" si="751"/>
        <v>0</v>
      </c>
      <c r="Z170" s="80">
        <f t="shared" si="720"/>
        <v>0</v>
      </c>
      <c r="AA170" s="81"/>
      <c r="AB170" s="81"/>
      <c r="AC170" s="81"/>
      <c r="AD170" s="81"/>
      <c r="AE170" s="83"/>
      <c r="AF170" s="83"/>
      <c r="AG170" s="83"/>
      <c r="AH170" s="83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  <c r="BE170" s="81"/>
      <c r="BF170" s="81"/>
      <c r="BG170" s="81"/>
      <c r="BH170" s="81"/>
      <c r="BI170" s="81"/>
      <c r="BJ170" s="81"/>
      <c r="BK170" s="82">
        <v>0</v>
      </c>
      <c r="BL170" s="82">
        <v>0</v>
      </c>
      <c r="BM170" s="82">
        <v>0</v>
      </c>
      <c r="BN170" s="81">
        <f t="shared" si="739"/>
        <v>0</v>
      </c>
      <c r="BO170" s="75">
        <f t="shared" si="740"/>
        <v>0</v>
      </c>
      <c r="BP170" s="81">
        <f t="shared" si="741"/>
        <v>0</v>
      </c>
      <c r="BQ170" s="81">
        <f t="shared" si="742"/>
        <v>0</v>
      </c>
      <c r="BR170" s="81">
        <f t="shared" si="743"/>
        <v>0</v>
      </c>
      <c r="BS170" s="81">
        <f t="shared" si="744"/>
        <v>0</v>
      </c>
      <c r="BT170" s="81">
        <f t="shared" si="745"/>
        <v>0</v>
      </c>
      <c r="BU170" s="81">
        <f t="shared" si="746"/>
        <v>0</v>
      </c>
      <c r="BV170" s="81">
        <f t="shared" si="747"/>
        <v>0</v>
      </c>
      <c r="BW170" s="81">
        <f t="shared" si="748"/>
        <v>0</v>
      </c>
      <c r="BX170" s="1"/>
      <c r="BY170" s="1"/>
      <c r="BZ170" s="1"/>
      <c r="CA170" s="1"/>
      <c r="CB170" s="1"/>
      <c r="CC170" s="1"/>
      <c r="CD170" s="1"/>
      <c r="CE170" s="1"/>
      <c r="CF170" s="1"/>
      <c r="CG170" s="1"/>
    </row>
    <row r="171" spans="1:85" ht="15.75">
      <c r="A171" s="109"/>
      <c r="B171" s="110"/>
      <c r="C171" s="111"/>
      <c r="D171" s="112" t="s">
        <v>251</v>
      </c>
      <c r="E171" s="58">
        <f t="shared" ref="E171:H171" si="752">SUM(E172:E174)</f>
        <v>20000</v>
      </c>
      <c r="F171" s="59">
        <f t="shared" si="752"/>
        <v>0</v>
      </c>
      <c r="G171" s="59">
        <f t="shared" si="752"/>
        <v>20000</v>
      </c>
      <c r="H171" s="59">
        <f t="shared" si="752"/>
        <v>0</v>
      </c>
      <c r="I171" s="60">
        <f t="shared" si="723"/>
        <v>0.66600000000000004</v>
      </c>
      <c r="J171" s="60">
        <f t="shared" si="724"/>
        <v>0.66600000000000004</v>
      </c>
      <c r="K171" s="59">
        <f t="shared" ref="K171:W171" si="753">SUM(K172:K174)</f>
        <v>13320</v>
      </c>
      <c r="L171" s="59">
        <f t="shared" si="753"/>
        <v>0</v>
      </c>
      <c r="M171" s="59">
        <f t="shared" si="753"/>
        <v>0</v>
      </c>
      <c r="N171" s="59">
        <f t="shared" si="753"/>
        <v>0</v>
      </c>
      <c r="O171" s="59">
        <f t="shared" si="753"/>
        <v>13320</v>
      </c>
      <c r="P171" s="59">
        <f t="shared" si="753"/>
        <v>0</v>
      </c>
      <c r="Q171" s="59">
        <f t="shared" si="753"/>
        <v>0</v>
      </c>
      <c r="R171" s="59">
        <f t="shared" si="753"/>
        <v>13320</v>
      </c>
      <c r="S171" s="59">
        <f t="shared" si="753"/>
        <v>0</v>
      </c>
      <c r="T171" s="59">
        <f t="shared" si="753"/>
        <v>0</v>
      </c>
      <c r="U171" s="59">
        <f t="shared" si="753"/>
        <v>0</v>
      </c>
      <c r="V171" s="59">
        <f t="shared" si="753"/>
        <v>0</v>
      </c>
      <c r="W171" s="59">
        <f t="shared" si="753"/>
        <v>0</v>
      </c>
      <c r="X171" s="63">
        <f t="shared" ref="X171:Y171" si="754">IF(O171&gt;0,O171/K171,0)</f>
        <v>1</v>
      </c>
      <c r="Y171" s="63">
        <f t="shared" si="754"/>
        <v>0</v>
      </c>
      <c r="Z171" s="63">
        <f t="shared" si="720"/>
        <v>0</v>
      </c>
      <c r="AA171" s="59">
        <f t="shared" ref="AA171:BW171" si="755">SUM(AA172:AA174)</f>
        <v>0</v>
      </c>
      <c r="AB171" s="59">
        <f t="shared" si="755"/>
        <v>0</v>
      </c>
      <c r="AC171" s="59">
        <f t="shared" si="755"/>
        <v>0</v>
      </c>
      <c r="AD171" s="59">
        <f t="shared" si="755"/>
        <v>0</v>
      </c>
      <c r="AE171" s="59">
        <f t="shared" si="755"/>
        <v>0</v>
      </c>
      <c r="AF171" s="59">
        <f t="shared" si="755"/>
        <v>0</v>
      </c>
      <c r="AG171" s="59">
        <f t="shared" si="755"/>
        <v>0</v>
      </c>
      <c r="AH171" s="59">
        <f t="shared" si="755"/>
        <v>0</v>
      </c>
      <c r="AI171" s="59">
        <f t="shared" si="755"/>
        <v>0</v>
      </c>
      <c r="AJ171" s="59">
        <f t="shared" si="755"/>
        <v>0</v>
      </c>
      <c r="AK171" s="59">
        <f t="shared" si="755"/>
        <v>0</v>
      </c>
      <c r="AL171" s="59">
        <f t="shared" si="755"/>
        <v>0</v>
      </c>
      <c r="AM171" s="59">
        <f t="shared" si="755"/>
        <v>0</v>
      </c>
      <c r="AN171" s="59">
        <f t="shared" si="755"/>
        <v>0</v>
      </c>
      <c r="AO171" s="59">
        <f t="shared" si="755"/>
        <v>0</v>
      </c>
      <c r="AP171" s="59">
        <f t="shared" si="755"/>
        <v>0</v>
      </c>
      <c r="AQ171" s="59">
        <f t="shared" si="755"/>
        <v>0</v>
      </c>
      <c r="AR171" s="59">
        <f t="shared" si="755"/>
        <v>0</v>
      </c>
      <c r="AS171" s="59">
        <f t="shared" si="755"/>
        <v>0</v>
      </c>
      <c r="AT171" s="59">
        <f t="shared" si="755"/>
        <v>0</v>
      </c>
      <c r="AU171" s="59">
        <f t="shared" si="755"/>
        <v>0</v>
      </c>
      <c r="AV171" s="59">
        <f t="shared" si="755"/>
        <v>0</v>
      </c>
      <c r="AW171" s="59">
        <f t="shared" si="755"/>
        <v>0</v>
      </c>
      <c r="AX171" s="59">
        <f t="shared" si="755"/>
        <v>0</v>
      </c>
      <c r="AY171" s="59">
        <f t="shared" si="755"/>
        <v>0</v>
      </c>
      <c r="AZ171" s="59">
        <f t="shared" si="755"/>
        <v>0</v>
      </c>
      <c r="BA171" s="59">
        <f t="shared" si="755"/>
        <v>0</v>
      </c>
      <c r="BB171" s="59">
        <f t="shared" si="755"/>
        <v>7800</v>
      </c>
      <c r="BC171" s="59">
        <f t="shared" si="755"/>
        <v>0</v>
      </c>
      <c r="BD171" s="59">
        <f t="shared" si="755"/>
        <v>0</v>
      </c>
      <c r="BE171" s="59">
        <f t="shared" si="755"/>
        <v>520</v>
      </c>
      <c r="BF171" s="59">
        <f t="shared" si="755"/>
        <v>0</v>
      </c>
      <c r="BG171" s="59">
        <f t="shared" si="755"/>
        <v>0</v>
      </c>
      <c r="BH171" s="59">
        <f t="shared" si="755"/>
        <v>5000</v>
      </c>
      <c r="BI171" s="59">
        <f t="shared" si="755"/>
        <v>0</v>
      </c>
      <c r="BJ171" s="59">
        <f t="shared" si="755"/>
        <v>0</v>
      </c>
      <c r="BK171" s="59">
        <f t="shared" si="755"/>
        <v>13320</v>
      </c>
      <c r="BL171" s="59">
        <f t="shared" si="755"/>
        <v>0</v>
      </c>
      <c r="BM171" s="59">
        <f t="shared" si="755"/>
        <v>0</v>
      </c>
      <c r="BN171" s="59">
        <f t="shared" si="755"/>
        <v>0</v>
      </c>
      <c r="BO171" s="59">
        <f t="shared" si="755"/>
        <v>0</v>
      </c>
      <c r="BP171" s="59">
        <f t="shared" si="755"/>
        <v>0</v>
      </c>
      <c r="BQ171" s="59">
        <f t="shared" si="755"/>
        <v>0</v>
      </c>
      <c r="BR171" s="59">
        <f t="shared" si="755"/>
        <v>0</v>
      </c>
      <c r="BS171" s="59">
        <f t="shared" si="755"/>
        <v>0</v>
      </c>
      <c r="BT171" s="59">
        <f t="shared" si="755"/>
        <v>0</v>
      </c>
      <c r="BU171" s="59">
        <f t="shared" si="755"/>
        <v>0</v>
      </c>
      <c r="BV171" s="59">
        <f t="shared" si="755"/>
        <v>0</v>
      </c>
      <c r="BW171" s="59">
        <f t="shared" si="755"/>
        <v>0</v>
      </c>
      <c r="BX171" s="65"/>
      <c r="BY171" s="65"/>
      <c r="BZ171" s="65"/>
      <c r="CA171" s="65"/>
      <c r="CB171" s="65"/>
      <c r="CC171" s="65"/>
      <c r="CD171" s="65"/>
      <c r="CE171" s="65"/>
      <c r="CF171" s="65"/>
      <c r="CG171" s="65"/>
    </row>
    <row r="172" spans="1:85" ht="15.75" customHeight="1">
      <c r="A172" s="66" t="s">
        <v>417</v>
      </c>
      <c r="B172" s="114"/>
      <c r="C172" s="232" t="s">
        <v>418</v>
      </c>
      <c r="D172" s="173" t="s">
        <v>419</v>
      </c>
      <c r="E172" s="70"/>
      <c r="F172" s="71"/>
      <c r="G172" s="71"/>
      <c r="H172" s="70"/>
      <c r="I172" s="72">
        <f t="shared" si="723"/>
        <v>0</v>
      </c>
      <c r="J172" s="72">
        <f t="shared" si="724"/>
        <v>0</v>
      </c>
      <c r="K172" s="88">
        <f>12800</f>
        <v>12800</v>
      </c>
      <c r="L172" s="81"/>
      <c r="M172" s="75"/>
      <c r="N172" s="76"/>
      <c r="O172" s="77">
        <f t="shared" ref="O172:Q172" si="756">AA172+AD172+AG172+AJ172+AM172+AP172+AS172+AV172+AY172+BB172+BE172+BH172</f>
        <v>12800</v>
      </c>
      <c r="P172" s="77">
        <f t="shared" si="756"/>
        <v>0</v>
      </c>
      <c r="Q172" s="77">
        <f t="shared" si="756"/>
        <v>0</v>
      </c>
      <c r="R172" s="77">
        <f t="shared" ref="R172:T172" si="757">IF(BK172=0,SUM(AA172+AD172+AG172+AJ172+AM172+AP172+AS172+AV172+AY172+BB172+BE172+BH172),BK172)</f>
        <v>12800</v>
      </c>
      <c r="S172" s="77">
        <f t="shared" si="757"/>
        <v>0</v>
      </c>
      <c r="T172" s="77">
        <f t="shared" si="757"/>
        <v>0</v>
      </c>
      <c r="U172" s="78">
        <f t="shared" ref="U172:U174" si="758">K172-O172</f>
        <v>0</v>
      </c>
      <c r="V172" s="79">
        <f t="shared" ref="V172:V174" si="759">L172-M172-S172</f>
        <v>0</v>
      </c>
      <c r="W172" s="79">
        <f t="shared" ref="W172:W174" si="760">N172-Q172</f>
        <v>0</v>
      </c>
      <c r="X172" s="80">
        <f t="shared" ref="X172:Y172" si="761">IF(O172&gt;0,O172/K172,0)</f>
        <v>1</v>
      </c>
      <c r="Y172" s="80">
        <f t="shared" si="761"/>
        <v>0</v>
      </c>
      <c r="Z172" s="80">
        <f t="shared" si="720"/>
        <v>0</v>
      </c>
      <c r="AA172" s="81"/>
      <c r="AB172" s="81"/>
      <c r="AC172" s="81"/>
      <c r="AD172" s="81"/>
      <c r="AE172" s="83"/>
      <c r="AF172" s="83"/>
      <c r="AG172" s="83"/>
      <c r="AH172" s="83"/>
      <c r="AI172" s="81"/>
      <c r="AJ172" s="81"/>
      <c r="AK172" s="81"/>
      <c r="AL172" s="81"/>
      <c r="AM172" s="81"/>
      <c r="AN172" s="81"/>
      <c r="AO172" s="81"/>
      <c r="AP172" s="81"/>
      <c r="AQ172" s="81"/>
      <c r="AR172" s="81"/>
      <c r="AS172" s="81"/>
      <c r="AT172" s="81"/>
      <c r="AU172" s="81"/>
      <c r="AV172" s="81"/>
      <c r="AW172" s="74"/>
      <c r="AX172" s="74"/>
      <c r="AY172" s="74"/>
      <c r="AZ172" s="74"/>
      <c r="BA172" s="74"/>
      <c r="BB172" s="74">
        <f>7800</f>
        <v>7800</v>
      </c>
      <c r="BC172" s="74"/>
      <c r="BD172" s="74"/>
      <c r="BE172" s="81"/>
      <c r="BF172" s="74"/>
      <c r="BG172" s="74"/>
      <c r="BH172" s="74">
        <f>5000</f>
        <v>5000</v>
      </c>
      <c r="BI172" s="74"/>
      <c r="BJ172" s="74"/>
      <c r="BK172" s="82">
        <v>12800</v>
      </c>
      <c r="BL172" s="82">
        <v>0</v>
      </c>
      <c r="BM172" s="82">
        <v>0</v>
      </c>
      <c r="BN172" s="81">
        <f t="shared" ref="BN172:BN174" si="762">IF(O172-BK172&gt;0,O172-BK172,0)</f>
        <v>0</v>
      </c>
      <c r="BO172" s="75">
        <f t="shared" ref="BO172:BO174" si="763">IF(Q172-BM172&gt;0,Q172-BM172,0)</f>
        <v>0</v>
      </c>
      <c r="BP172" s="81">
        <f t="shared" ref="BP172:BP174" si="764">IF(BN172+BO172&gt;0,BN172+BO172,0)</f>
        <v>0</v>
      </c>
      <c r="BQ172" s="81">
        <f t="shared" ref="BQ172:BQ174" si="765">IF(U172=0,0,U172)</f>
        <v>0</v>
      </c>
      <c r="BR172" s="81">
        <f t="shared" ref="BR172:BR174" si="766">IF(W172=0,0,W172)</f>
        <v>0</v>
      </c>
      <c r="BS172" s="81">
        <f t="shared" ref="BS172:BS174" si="767">IF(BQ172+BR172&gt;0,BQ172+BR172,0)</f>
        <v>0</v>
      </c>
      <c r="BT172" s="81">
        <f t="shared" ref="BT172:BT174" si="768">IF(V172&gt;0,V172,0)</f>
        <v>0</v>
      </c>
      <c r="BU172" s="81">
        <f t="shared" ref="BU172:BU174" si="769">IF(BP172=0,0,BP172)</f>
        <v>0</v>
      </c>
      <c r="BV172" s="81">
        <f t="shared" ref="BV172:BV174" si="770">IF(BS172=0,0,BS172)</f>
        <v>0</v>
      </c>
      <c r="BW172" s="81">
        <f t="shared" ref="BW172:BW174" si="771">IF(BP172+BT172+BV172&gt;0,BP172+BT172+BV172,0)</f>
        <v>0</v>
      </c>
      <c r="BX172" s="1"/>
      <c r="BY172" s="1"/>
      <c r="BZ172" s="1"/>
      <c r="CA172" s="1"/>
      <c r="CB172" s="1"/>
      <c r="CC172" s="1"/>
      <c r="CD172" s="1"/>
      <c r="CE172" s="1"/>
      <c r="CF172" s="1"/>
      <c r="CG172" s="1"/>
    </row>
    <row r="173" spans="1:85" ht="15.75" customHeight="1">
      <c r="A173" s="84"/>
      <c r="B173" s="115"/>
      <c r="C173" s="86" t="s">
        <v>420</v>
      </c>
      <c r="D173" s="87" t="s">
        <v>421</v>
      </c>
      <c r="E173" s="70">
        <v>15000</v>
      </c>
      <c r="F173" s="71"/>
      <c r="G173" s="71">
        <f t="shared" ref="G173:G174" si="772">E173-F173</f>
        <v>15000</v>
      </c>
      <c r="H173" s="70"/>
      <c r="I173" s="72">
        <f t="shared" si="723"/>
        <v>0</v>
      </c>
      <c r="J173" s="72">
        <f t="shared" si="724"/>
        <v>0</v>
      </c>
      <c r="K173" s="88"/>
      <c r="L173" s="81"/>
      <c r="M173" s="75"/>
      <c r="N173" s="76"/>
      <c r="O173" s="77">
        <f t="shared" ref="O173:Q173" si="773">AA173+AD173+AG173+AJ173+AM173+AP173+AS173+AV173+AY173+BB173+BE173+BH173</f>
        <v>0</v>
      </c>
      <c r="P173" s="77">
        <f t="shared" si="773"/>
        <v>0</v>
      </c>
      <c r="Q173" s="77">
        <f t="shared" si="773"/>
        <v>0</v>
      </c>
      <c r="R173" s="77">
        <f t="shared" ref="R173:T173" si="774">IF(BK173=0,SUM(AA173+AD173+AG173+AJ173+AM173+AP173+AS173+AV173+AY173+BB173+BE173+BH173),BK173)</f>
        <v>0</v>
      </c>
      <c r="S173" s="77">
        <f t="shared" si="774"/>
        <v>0</v>
      </c>
      <c r="T173" s="77">
        <f t="shared" si="774"/>
        <v>0</v>
      </c>
      <c r="U173" s="79">
        <f t="shared" si="758"/>
        <v>0</v>
      </c>
      <c r="V173" s="79">
        <f t="shared" si="759"/>
        <v>0</v>
      </c>
      <c r="W173" s="79">
        <f t="shared" si="760"/>
        <v>0</v>
      </c>
      <c r="X173" s="80">
        <f t="shared" ref="X173:Y173" si="775">IF(O173&gt;0,O173/K173,0)</f>
        <v>0</v>
      </c>
      <c r="Y173" s="80">
        <f t="shared" si="775"/>
        <v>0</v>
      </c>
      <c r="Z173" s="80">
        <f t="shared" si="720"/>
        <v>0</v>
      </c>
      <c r="AA173" s="81"/>
      <c r="AB173" s="81"/>
      <c r="AC173" s="81"/>
      <c r="AD173" s="81"/>
      <c r="AE173" s="83"/>
      <c r="AF173" s="83"/>
      <c r="AG173" s="83"/>
      <c r="AH173" s="83"/>
      <c r="AI173" s="81"/>
      <c r="AJ173" s="81"/>
      <c r="AK173" s="81"/>
      <c r="AL173" s="81"/>
      <c r="AM173" s="81"/>
      <c r="AN173" s="81"/>
      <c r="AO173" s="81"/>
      <c r="AP173" s="81"/>
      <c r="AQ173" s="81"/>
      <c r="AR173" s="81"/>
      <c r="AS173" s="81"/>
      <c r="AT173" s="81"/>
      <c r="AU173" s="81"/>
      <c r="AV173" s="81"/>
      <c r="AW173" s="74"/>
      <c r="AX173" s="74"/>
      <c r="AY173" s="74"/>
      <c r="AZ173" s="74"/>
      <c r="BA173" s="74"/>
      <c r="BB173" s="74"/>
      <c r="BC173" s="74"/>
      <c r="BD173" s="74"/>
      <c r="BE173" s="81"/>
      <c r="BF173" s="74"/>
      <c r="BG173" s="74"/>
      <c r="BH173" s="74"/>
      <c r="BI173" s="74"/>
      <c r="BJ173" s="74"/>
      <c r="BK173" s="82">
        <v>0</v>
      </c>
      <c r="BL173" s="82">
        <v>0</v>
      </c>
      <c r="BM173" s="82">
        <v>0</v>
      </c>
      <c r="BN173" s="81">
        <f t="shared" si="762"/>
        <v>0</v>
      </c>
      <c r="BO173" s="75">
        <f t="shared" si="763"/>
        <v>0</v>
      </c>
      <c r="BP173" s="81">
        <f t="shared" si="764"/>
        <v>0</v>
      </c>
      <c r="BQ173" s="81">
        <f t="shared" si="765"/>
        <v>0</v>
      </c>
      <c r="BR173" s="81">
        <f t="shared" si="766"/>
        <v>0</v>
      </c>
      <c r="BS173" s="81">
        <f t="shared" si="767"/>
        <v>0</v>
      </c>
      <c r="BT173" s="81">
        <f t="shared" si="768"/>
        <v>0</v>
      </c>
      <c r="BU173" s="81">
        <f t="shared" si="769"/>
        <v>0</v>
      </c>
      <c r="BV173" s="81">
        <f t="shared" si="770"/>
        <v>0</v>
      </c>
      <c r="BW173" s="81">
        <f t="shared" si="771"/>
        <v>0</v>
      </c>
      <c r="BX173" s="1"/>
      <c r="BY173" s="1"/>
      <c r="BZ173" s="1"/>
      <c r="CA173" s="1"/>
      <c r="CB173" s="1"/>
      <c r="CC173" s="1"/>
      <c r="CD173" s="1"/>
      <c r="CE173" s="1"/>
      <c r="CF173" s="1"/>
      <c r="CG173" s="1"/>
    </row>
    <row r="174" spans="1:85" ht="15.75" customHeight="1">
      <c r="A174" s="233" t="s">
        <v>422</v>
      </c>
      <c r="B174" s="234"/>
      <c r="C174" s="91" t="s">
        <v>304</v>
      </c>
      <c r="D174" s="143" t="s">
        <v>423</v>
      </c>
      <c r="E174" s="70">
        <f>5000</f>
        <v>5000</v>
      </c>
      <c r="F174" s="71"/>
      <c r="G174" s="71">
        <f t="shared" si="772"/>
        <v>5000</v>
      </c>
      <c r="H174" s="70"/>
      <c r="I174" s="72">
        <f t="shared" si="723"/>
        <v>0.104</v>
      </c>
      <c r="J174" s="72">
        <f t="shared" si="724"/>
        <v>0.104</v>
      </c>
      <c r="K174" s="235">
        <f>520</f>
        <v>520</v>
      </c>
      <c r="L174" s="236"/>
      <c r="M174" s="236"/>
      <c r="N174" s="237"/>
      <c r="O174" s="77">
        <f t="shared" ref="O174:Q174" si="776">AA174+AD174+AG174+AJ174+AM174+AP174+AS174+AV174+AY174+BB174+BE174+BH174</f>
        <v>520</v>
      </c>
      <c r="P174" s="77">
        <f t="shared" si="776"/>
        <v>0</v>
      </c>
      <c r="Q174" s="77">
        <f t="shared" si="776"/>
        <v>0</v>
      </c>
      <c r="R174" s="77">
        <f t="shared" ref="R174:T174" si="777">IF(BK174=0,SUM(AA174+AD174+AG174+AJ174+AM174+AP174+AS174+AV174+AY174+BB174+BE174+BH174),BK174)</f>
        <v>520</v>
      </c>
      <c r="S174" s="77">
        <f t="shared" si="777"/>
        <v>0</v>
      </c>
      <c r="T174" s="77">
        <f t="shared" si="777"/>
        <v>0</v>
      </c>
      <c r="U174" s="78">
        <f t="shared" si="758"/>
        <v>0</v>
      </c>
      <c r="V174" s="79">
        <f t="shared" si="759"/>
        <v>0</v>
      </c>
      <c r="W174" s="79">
        <f t="shared" si="760"/>
        <v>0</v>
      </c>
      <c r="X174" s="80">
        <f t="shared" ref="X174:Y174" si="778">IF(O174&gt;0,O174/K174,0)</f>
        <v>1</v>
      </c>
      <c r="Y174" s="80">
        <f t="shared" si="778"/>
        <v>0</v>
      </c>
      <c r="Z174" s="80">
        <f t="shared" si="720"/>
        <v>0</v>
      </c>
      <c r="AA174" s="238"/>
      <c r="AB174" s="238"/>
      <c r="AC174" s="238"/>
      <c r="AD174" s="238"/>
      <c r="AE174" s="238"/>
      <c r="AF174" s="238"/>
      <c r="AG174" s="238"/>
      <c r="AH174" s="238"/>
      <c r="AI174" s="238"/>
      <c r="AJ174" s="238"/>
      <c r="AK174" s="238"/>
      <c r="AL174" s="238"/>
      <c r="AM174" s="238"/>
      <c r="AN174" s="238"/>
      <c r="AO174" s="238"/>
      <c r="AP174" s="238"/>
      <c r="AQ174" s="238"/>
      <c r="AR174" s="238"/>
      <c r="AS174" s="238"/>
      <c r="AT174" s="238"/>
      <c r="AU174" s="238"/>
      <c r="AV174" s="238"/>
      <c r="AW174" s="238"/>
      <c r="AX174" s="238"/>
      <c r="AY174" s="238"/>
      <c r="AZ174" s="238"/>
      <c r="BA174" s="238"/>
      <c r="BB174" s="238"/>
      <c r="BC174" s="238"/>
      <c r="BD174" s="238"/>
      <c r="BE174" s="236">
        <f>520</f>
        <v>520</v>
      </c>
      <c r="BF174" s="238"/>
      <c r="BG174" s="238"/>
      <c r="BH174" s="238"/>
      <c r="BI174" s="238"/>
      <c r="BJ174" s="238"/>
      <c r="BK174" s="82">
        <v>520</v>
      </c>
      <c r="BL174" s="82">
        <v>0</v>
      </c>
      <c r="BM174" s="82">
        <v>0</v>
      </c>
      <c r="BN174" s="81">
        <f t="shared" si="762"/>
        <v>0</v>
      </c>
      <c r="BO174" s="75">
        <f t="shared" si="763"/>
        <v>0</v>
      </c>
      <c r="BP174" s="81">
        <f t="shared" si="764"/>
        <v>0</v>
      </c>
      <c r="BQ174" s="81">
        <f t="shared" si="765"/>
        <v>0</v>
      </c>
      <c r="BR174" s="81">
        <f t="shared" si="766"/>
        <v>0</v>
      </c>
      <c r="BS174" s="81">
        <f t="shared" si="767"/>
        <v>0</v>
      </c>
      <c r="BT174" s="81">
        <f t="shared" si="768"/>
        <v>0</v>
      </c>
      <c r="BU174" s="81">
        <f t="shared" si="769"/>
        <v>0</v>
      </c>
      <c r="BV174" s="81">
        <f t="shared" si="770"/>
        <v>0</v>
      </c>
      <c r="BW174" s="81">
        <f t="shared" si="771"/>
        <v>0</v>
      </c>
      <c r="BX174" s="1"/>
      <c r="BY174" s="1"/>
      <c r="BZ174" s="1"/>
      <c r="CA174" s="1"/>
      <c r="CB174" s="1"/>
      <c r="CC174" s="1"/>
      <c r="CD174" s="1"/>
      <c r="CE174" s="1"/>
      <c r="CF174" s="1"/>
      <c r="CG174" s="1"/>
    </row>
    <row r="175" spans="1:85" ht="15.75">
      <c r="A175" s="109"/>
      <c r="B175" s="110"/>
      <c r="C175" s="111"/>
      <c r="D175" s="112" t="s">
        <v>365</v>
      </c>
      <c r="E175" s="58">
        <f t="shared" ref="E175:H175" si="779">SUM(E176:E183)</f>
        <v>0</v>
      </c>
      <c r="F175" s="59">
        <f t="shared" si="779"/>
        <v>0</v>
      </c>
      <c r="G175" s="59">
        <f t="shared" si="779"/>
        <v>0</v>
      </c>
      <c r="H175" s="59">
        <f t="shared" si="779"/>
        <v>0</v>
      </c>
      <c r="I175" s="60">
        <f t="shared" si="723"/>
        <v>0</v>
      </c>
      <c r="J175" s="60">
        <f t="shared" si="724"/>
        <v>0</v>
      </c>
      <c r="K175" s="59">
        <f t="shared" ref="K175:W175" si="780">SUM(K176:K183)</f>
        <v>0</v>
      </c>
      <c r="L175" s="59">
        <f t="shared" si="780"/>
        <v>736719.34</v>
      </c>
      <c r="M175" s="59">
        <f t="shared" si="780"/>
        <v>0</v>
      </c>
      <c r="N175" s="59">
        <f t="shared" si="780"/>
        <v>0</v>
      </c>
      <c r="O175" s="59">
        <f t="shared" si="780"/>
        <v>0</v>
      </c>
      <c r="P175" s="59">
        <f t="shared" si="780"/>
        <v>525866.23</v>
      </c>
      <c r="Q175" s="59">
        <f t="shared" si="780"/>
        <v>0</v>
      </c>
      <c r="R175" s="59">
        <f t="shared" si="780"/>
        <v>0</v>
      </c>
      <c r="S175" s="59">
        <f t="shared" si="780"/>
        <v>525866.23</v>
      </c>
      <c r="T175" s="59">
        <f t="shared" si="780"/>
        <v>0</v>
      </c>
      <c r="U175" s="59">
        <f t="shared" si="780"/>
        <v>0</v>
      </c>
      <c r="V175" s="59">
        <f t="shared" si="780"/>
        <v>210853.11</v>
      </c>
      <c r="W175" s="59">
        <f t="shared" si="780"/>
        <v>0</v>
      </c>
      <c r="X175" s="63">
        <f t="shared" ref="X175:Y175" si="781">IF(O175&gt;0,O175/K175,0)</f>
        <v>0</v>
      </c>
      <c r="Y175" s="63">
        <f t="shared" si="781"/>
        <v>0.71379452316264702</v>
      </c>
      <c r="Z175" s="63">
        <f t="shared" si="720"/>
        <v>0</v>
      </c>
      <c r="AA175" s="59">
        <f t="shared" ref="AA175:BW175" si="782">SUM(AA176:AA183)</f>
        <v>0</v>
      </c>
      <c r="AB175" s="59">
        <f t="shared" si="782"/>
        <v>97648</v>
      </c>
      <c r="AC175" s="59">
        <f t="shared" si="782"/>
        <v>0</v>
      </c>
      <c r="AD175" s="59">
        <f t="shared" si="782"/>
        <v>0</v>
      </c>
      <c r="AE175" s="59">
        <f t="shared" si="782"/>
        <v>25288.23</v>
      </c>
      <c r="AF175" s="59">
        <f t="shared" si="782"/>
        <v>0</v>
      </c>
      <c r="AG175" s="59">
        <f t="shared" si="782"/>
        <v>0</v>
      </c>
      <c r="AH175" s="59">
        <f t="shared" si="782"/>
        <v>249850</v>
      </c>
      <c r="AI175" s="59">
        <f t="shared" si="782"/>
        <v>0</v>
      </c>
      <c r="AJ175" s="59">
        <f t="shared" si="782"/>
        <v>0</v>
      </c>
      <c r="AK175" s="59">
        <f t="shared" si="782"/>
        <v>0</v>
      </c>
      <c r="AL175" s="59">
        <f t="shared" si="782"/>
        <v>0</v>
      </c>
      <c r="AM175" s="59">
        <f t="shared" si="782"/>
        <v>0</v>
      </c>
      <c r="AN175" s="59">
        <f t="shared" si="782"/>
        <v>0</v>
      </c>
      <c r="AO175" s="59">
        <f t="shared" si="782"/>
        <v>0</v>
      </c>
      <c r="AP175" s="59">
        <f t="shared" si="782"/>
        <v>0</v>
      </c>
      <c r="AQ175" s="59">
        <f t="shared" si="782"/>
        <v>0</v>
      </c>
      <c r="AR175" s="59">
        <f t="shared" si="782"/>
        <v>0</v>
      </c>
      <c r="AS175" s="59">
        <f t="shared" si="782"/>
        <v>0</v>
      </c>
      <c r="AT175" s="59">
        <f t="shared" si="782"/>
        <v>0</v>
      </c>
      <c r="AU175" s="59">
        <f t="shared" si="782"/>
        <v>0</v>
      </c>
      <c r="AV175" s="59">
        <f t="shared" si="782"/>
        <v>0</v>
      </c>
      <c r="AW175" s="59">
        <f t="shared" si="782"/>
        <v>153080</v>
      </c>
      <c r="AX175" s="59">
        <f t="shared" si="782"/>
        <v>0</v>
      </c>
      <c r="AY175" s="59">
        <f t="shared" si="782"/>
        <v>0</v>
      </c>
      <c r="AZ175" s="59">
        <f t="shared" si="782"/>
        <v>0</v>
      </c>
      <c r="BA175" s="59">
        <f t="shared" si="782"/>
        <v>0</v>
      </c>
      <c r="BB175" s="59">
        <f t="shared" si="782"/>
        <v>0</v>
      </c>
      <c r="BC175" s="59">
        <f t="shared" si="782"/>
        <v>0</v>
      </c>
      <c r="BD175" s="59">
        <f t="shared" si="782"/>
        <v>0</v>
      </c>
      <c r="BE175" s="59">
        <f t="shared" si="782"/>
        <v>0</v>
      </c>
      <c r="BF175" s="59">
        <f t="shared" si="782"/>
        <v>0</v>
      </c>
      <c r="BG175" s="59">
        <f t="shared" si="782"/>
        <v>0</v>
      </c>
      <c r="BH175" s="59">
        <f t="shared" si="782"/>
        <v>0</v>
      </c>
      <c r="BI175" s="59">
        <f t="shared" si="782"/>
        <v>0</v>
      </c>
      <c r="BJ175" s="59">
        <f t="shared" si="782"/>
        <v>0</v>
      </c>
      <c r="BK175" s="59">
        <f t="shared" si="782"/>
        <v>0</v>
      </c>
      <c r="BL175" s="59">
        <f t="shared" si="782"/>
        <v>525866.23</v>
      </c>
      <c r="BM175" s="59">
        <f t="shared" si="782"/>
        <v>0</v>
      </c>
      <c r="BN175" s="59">
        <f t="shared" si="782"/>
        <v>0</v>
      </c>
      <c r="BO175" s="59">
        <f t="shared" si="782"/>
        <v>0</v>
      </c>
      <c r="BP175" s="59">
        <f t="shared" si="782"/>
        <v>0</v>
      </c>
      <c r="BQ175" s="59">
        <f t="shared" si="782"/>
        <v>0</v>
      </c>
      <c r="BR175" s="59">
        <f t="shared" si="782"/>
        <v>0</v>
      </c>
      <c r="BS175" s="59">
        <f t="shared" si="782"/>
        <v>0</v>
      </c>
      <c r="BT175" s="59">
        <f t="shared" si="782"/>
        <v>210853.11</v>
      </c>
      <c r="BU175" s="59">
        <f t="shared" si="782"/>
        <v>0</v>
      </c>
      <c r="BV175" s="59">
        <f t="shared" si="782"/>
        <v>0</v>
      </c>
      <c r="BW175" s="59">
        <f t="shared" si="782"/>
        <v>210853.11</v>
      </c>
      <c r="BX175" s="65"/>
      <c r="BY175" s="65"/>
      <c r="BZ175" s="65"/>
      <c r="CA175" s="65"/>
      <c r="CB175" s="65"/>
      <c r="CC175" s="65"/>
      <c r="CD175" s="65"/>
      <c r="CE175" s="65"/>
      <c r="CF175" s="65"/>
      <c r="CG175" s="65"/>
    </row>
    <row r="176" spans="1:85" ht="15.75" customHeight="1">
      <c r="A176" s="145"/>
      <c r="B176" s="239" t="s">
        <v>424</v>
      </c>
      <c r="C176" s="86" t="s">
        <v>425</v>
      </c>
      <c r="D176" s="240" t="s">
        <v>426</v>
      </c>
      <c r="E176" s="70"/>
      <c r="F176" s="71"/>
      <c r="G176" s="71">
        <f t="shared" ref="G176:G183" si="783">E176-F176</f>
        <v>0</v>
      </c>
      <c r="H176" s="70"/>
      <c r="I176" s="72">
        <f t="shared" si="723"/>
        <v>0</v>
      </c>
      <c r="J176" s="72">
        <f t="shared" si="724"/>
        <v>0</v>
      </c>
      <c r="K176" s="235"/>
      <c r="L176" s="236">
        <v>10048</v>
      </c>
      <c r="M176" s="236"/>
      <c r="N176" s="235"/>
      <c r="O176" s="77">
        <f t="shared" ref="O176:Q176" si="784">AA176+AD176+AG176+AJ176+AM176+AP176+AS176+AV176+AY176+BB176+BE176+BH176</f>
        <v>0</v>
      </c>
      <c r="P176" s="77">
        <f t="shared" si="784"/>
        <v>10048</v>
      </c>
      <c r="Q176" s="77">
        <f t="shared" si="784"/>
        <v>0</v>
      </c>
      <c r="R176" s="77">
        <f t="shared" ref="R176:T176" si="785">IF(BK176=0,SUM(AA176+AD176+AG176+AJ176+AM176+AP176+AS176+AV176+AY176+BB176+BE176+BH176),BK176)</f>
        <v>0</v>
      </c>
      <c r="S176" s="77">
        <f t="shared" si="785"/>
        <v>10048</v>
      </c>
      <c r="T176" s="77">
        <f t="shared" si="785"/>
        <v>0</v>
      </c>
      <c r="U176" s="79">
        <f t="shared" ref="U176:U183" si="786">K176-O176</f>
        <v>0</v>
      </c>
      <c r="V176" s="79">
        <f t="shared" ref="V176:V183" si="787">L176-M176-S176</f>
        <v>0</v>
      </c>
      <c r="W176" s="79">
        <f t="shared" ref="W176:W183" si="788">N176-Q176</f>
        <v>0</v>
      </c>
      <c r="X176" s="80">
        <f t="shared" ref="X176:Y176" si="789">IF(O176&gt;0,O176/K176,0)</f>
        <v>0</v>
      </c>
      <c r="Y176" s="80">
        <f t="shared" si="789"/>
        <v>1</v>
      </c>
      <c r="Z176" s="80">
        <f t="shared" si="720"/>
        <v>0</v>
      </c>
      <c r="AA176" s="236"/>
      <c r="AB176" s="241">
        <v>10048</v>
      </c>
      <c r="AC176" s="236"/>
      <c r="AD176" s="236"/>
      <c r="AE176" s="236"/>
      <c r="AF176" s="236"/>
      <c r="AG176" s="236"/>
      <c r="AH176" s="236"/>
      <c r="AI176" s="236"/>
      <c r="AJ176" s="236"/>
      <c r="AK176" s="236"/>
      <c r="AL176" s="236"/>
      <c r="AM176" s="236"/>
      <c r="AN176" s="236"/>
      <c r="AO176" s="236"/>
      <c r="AP176" s="236"/>
      <c r="AQ176" s="236"/>
      <c r="AR176" s="236"/>
      <c r="AS176" s="236"/>
      <c r="AT176" s="236"/>
      <c r="AU176" s="236"/>
      <c r="AV176" s="236"/>
      <c r="AW176" s="236"/>
      <c r="AX176" s="236"/>
      <c r="AY176" s="236"/>
      <c r="AZ176" s="236"/>
      <c r="BA176" s="236"/>
      <c r="BB176" s="236"/>
      <c r="BC176" s="236"/>
      <c r="BD176" s="236"/>
      <c r="BE176" s="236"/>
      <c r="BF176" s="236"/>
      <c r="BG176" s="236"/>
      <c r="BH176" s="236"/>
      <c r="BI176" s="236"/>
      <c r="BJ176" s="236"/>
      <c r="BK176" s="241">
        <v>0</v>
      </c>
      <c r="BL176" s="241">
        <v>10048</v>
      </c>
      <c r="BM176" s="241">
        <v>0</v>
      </c>
      <c r="BN176" s="81">
        <f t="shared" ref="BN176:BN183" si="790">IF(O176-BK176&gt;0,O176-BK176,0)</f>
        <v>0</v>
      </c>
      <c r="BO176" s="75">
        <f t="shared" ref="BO176:BO183" si="791">IF(Q176-BM176&gt;0,Q176-BM176,0)</f>
        <v>0</v>
      </c>
      <c r="BP176" s="81">
        <f t="shared" ref="BP176:BP183" si="792">IF(BN176+BO176&gt;0,BN176+BO176,0)</f>
        <v>0</v>
      </c>
      <c r="BQ176" s="81">
        <f t="shared" ref="BQ176:BQ183" si="793">IF(U176=0,0,U176)</f>
        <v>0</v>
      </c>
      <c r="BR176" s="81">
        <f t="shared" ref="BR176:BR183" si="794">IF(W176=0,0,W176)</f>
        <v>0</v>
      </c>
      <c r="BS176" s="81">
        <f t="shared" ref="BS176:BS183" si="795">IF(BQ176+BR176&gt;0,BQ176+BR176,0)</f>
        <v>0</v>
      </c>
      <c r="BT176" s="81">
        <f t="shared" ref="BT176:BT183" si="796">IF(V176&gt;0,V176,0)</f>
        <v>0</v>
      </c>
      <c r="BU176" s="81">
        <f t="shared" ref="BU176:BU183" si="797">IF(BP176=0,0,BP176)</f>
        <v>0</v>
      </c>
      <c r="BV176" s="81">
        <f t="shared" ref="BV176:BV183" si="798">IF(BS176=0,0,BS176)</f>
        <v>0</v>
      </c>
      <c r="BW176" s="81">
        <f t="shared" ref="BW176:BW183" si="799">IF(BP176+BT176+BV176&gt;0,BP176+BT176+BV176,0)</f>
        <v>0</v>
      </c>
      <c r="BX176" s="1"/>
      <c r="BY176" s="1"/>
      <c r="BZ176" s="1"/>
      <c r="CA176" s="1"/>
      <c r="CB176" s="1"/>
      <c r="CC176" s="1"/>
      <c r="CD176" s="1"/>
      <c r="CE176" s="1"/>
      <c r="CF176" s="1"/>
      <c r="CG176" s="1"/>
    </row>
    <row r="177" spans="1:85" ht="15.75" customHeight="1">
      <c r="A177" s="145"/>
      <c r="B177" s="239" t="s">
        <v>427</v>
      </c>
      <c r="C177" s="86" t="s">
        <v>425</v>
      </c>
      <c r="D177" s="240" t="s">
        <v>428</v>
      </c>
      <c r="E177" s="70"/>
      <c r="F177" s="71"/>
      <c r="G177" s="71">
        <f t="shared" si="783"/>
        <v>0</v>
      </c>
      <c r="H177" s="70"/>
      <c r="I177" s="72">
        <f t="shared" si="723"/>
        <v>0</v>
      </c>
      <c r="J177" s="72">
        <f t="shared" si="724"/>
        <v>0</v>
      </c>
      <c r="K177" s="235"/>
      <c r="L177" s="236">
        <v>4512</v>
      </c>
      <c r="M177" s="236"/>
      <c r="N177" s="235"/>
      <c r="O177" s="77">
        <f t="shared" ref="O177:Q177" si="800">AA177+AD177+AG177+AJ177+AM177+AP177+AS177+AV177+AY177+BB177+BE177+BH177</f>
        <v>0</v>
      </c>
      <c r="P177" s="77">
        <f t="shared" si="800"/>
        <v>4512</v>
      </c>
      <c r="Q177" s="77">
        <f t="shared" si="800"/>
        <v>0</v>
      </c>
      <c r="R177" s="77">
        <f t="shared" ref="R177:T177" si="801">IF(BK177=0,SUM(AA177+AD177+AG177+AJ177+AM177+AP177+AS177+AV177+AY177+BB177+BE177+BH177),BK177)</f>
        <v>0</v>
      </c>
      <c r="S177" s="77">
        <f t="shared" si="801"/>
        <v>4512</v>
      </c>
      <c r="T177" s="77">
        <f t="shared" si="801"/>
        <v>0</v>
      </c>
      <c r="U177" s="79">
        <f t="shared" si="786"/>
        <v>0</v>
      </c>
      <c r="V177" s="79">
        <f t="shared" si="787"/>
        <v>0</v>
      </c>
      <c r="W177" s="79">
        <f t="shared" si="788"/>
        <v>0</v>
      </c>
      <c r="X177" s="80">
        <f t="shared" ref="X177:Y177" si="802">IF(O177&gt;0,O177/K177,0)</f>
        <v>0</v>
      </c>
      <c r="Y177" s="80">
        <f t="shared" si="802"/>
        <v>1</v>
      </c>
      <c r="Z177" s="80">
        <f t="shared" si="720"/>
        <v>0</v>
      </c>
      <c r="AA177" s="236"/>
      <c r="AB177" s="236"/>
      <c r="AC177" s="236"/>
      <c r="AD177" s="236"/>
      <c r="AE177" s="241">
        <v>4512</v>
      </c>
      <c r="AF177" s="236"/>
      <c r="AG177" s="236"/>
      <c r="AH177" s="236"/>
      <c r="AI177" s="236"/>
      <c r="AJ177" s="236"/>
      <c r="AK177" s="236"/>
      <c r="AL177" s="236"/>
      <c r="AM177" s="236"/>
      <c r="AN177" s="236"/>
      <c r="AO177" s="236"/>
      <c r="AP177" s="236"/>
      <c r="AQ177" s="236"/>
      <c r="AR177" s="236"/>
      <c r="AS177" s="236"/>
      <c r="AT177" s="236"/>
      <c r="AU177" s="236"/>
      <c r="AV177" s="236"/>
      <c r="AW177" s="236"/>
      <c r="AX177" s="236"/>
      <c r="AY177" s="236"/>
      <c r="AZ177" s="236"/>
      <c r="BA177" s="236"/>
      <c r="BB177" s="236"/>
      <c r="BC177" s="236"/>
      <c r="BD177" s="236"/>
      <c r="BE177" s="236"/>
      <c r="BF177" s="236"/>
      <c r="BG177" s="236"/>
      <c r="BH177" s="236"/>
      <c r="BI177" s="236"/>
      <c r="BJ177" s="236"/>
      <c r="BK177" s="241">
        <v>0</v>
      </c>
      <c r="BL177" s="241">
        <v>4512</v>
      </c>
      <c r="BM177" s="241">
        <v>0</v>
      </c>
      <c r="BN177" s="81">
        <f t="shared" si="790"/>
        <v>0</v>
      </c>
      <c r="BO177" s="75">
        <f t="shared" si="791"/>
        <v>0</v>
      </c>
      <c r="BP177" s="81">
        <f t="shared" si="792"/>
        <v>0</v>
      </c>
      <c r="BQ177" s="81">
        <f t="shared" si="793"/>
        <v>0</v>
      </c>
      <c r="BR177" s="81">
        <f t="shared" si="794"/>
        <v>0</v>
      </c>
      <c r="BS177" s="81">
        <f t="shared" si="795"/>
        <v>0</v>
      </c>
      <c r="BT177" s="81">
        <f t="shared" si="796"/>
        <v>0</v>
      </c>
      <c r="BU177" s="81">
        <f t="shared" si="797"/>
        <v>0</v>
      </c>
      <c r="BV177" s="81">
        <f t="shared" si="798"/>
        <v>0</v>
      </c>
      <c r="BW177" s="81">
        <f t="shared" si="799"/>
        <v>0</v>
      </c>
      <c r="BX177" s="1"/>
      <c r="BY177" s="1"/>
      <c r="BZ177" s="1"/>
      <c r="CA177" s="1"/>
      <c r="CB177" s="1"/>
      <c r="CC177" s="1"/>
      <c r="CD177" s="1"/>
      <c r="CE177" s="1"/>
      <c r="CF177" s="1"/>
      <c r="CG177" s="1"/>
    </row>
    <row r="178" spans="1:85" ht="15.75" customHeight="1">
      <c r="A178" s="145"/>
      <c r="B178" s="239" t="s">
        <v>429</v>
      </c>
      <c r="C178" s="86" t="s">
        <v>430</v>
      </c>
      <c r="D178" s="240" t="s">
        <v>431</v>
      </c>
      <c r="E178" s="70"/>
      <c r="F178" s="71"/>
      <c r="G178" s="71">
        <f t="shared" si="783"/>
        <v>0</v>
      </c>
      <c r="H178" s="70"/>
      <c r="I178" s="72">
        <f t="shared" si="723"/>
        <v>0</v>
      </c>
      <c r="J178" s="72">
        <f t="shared" si="724"/>
        <v>0</v>
      </c>
      <c r="K178" s="235"/>
      <c r="L178" s="236">
        <v>210853.11</v>
      </c>
      <c r="M178" s="236"/>
      <c r="N178" s="235"/>
      <c r="O178" s="77">
        <f t="shared" ref="O178:Q178" si="803">AA178+AD178+AG178+AJ178+AM178+AP178+AS178+AV178+AY178+BB178+BE178+BH178</f>
        <v>0</v>
      </c>
      <c r="P178" s="77">
        <f t="shared" si="803"/>
        <v>0</v>
      </c>
      <c r="Q178" s="77">
        <f t="shared" si="803"/>
        <v>0</v>
      </c>
      <c r="R178" s="77">
        <f t="shared" ref="R178:T178" si="804">IF(BK178=0,SUM(AA178+AD178+AG178+AJ178+AM178+AP178+AS178+AV178+AY178+BB178+BE178+BH178),BK178)</f>
        <v>0</v>
      </c>
      <c r="S178" s="77">
        <f t="shared" si="804"/>
        <v>0</v>
      </c>
      <c r="T178" s="77">
        <f t="shared" si="804"/>
        <v>0</v>
      </c>
      <c r="U178" s="79">
        <f t="shared" si="786"/>
        <v>0</v>
      </c>
      <c r="V178" s="79">
        <f t="shared" si="787"/>
        <v>210853.11</v>
      </c>
      <c r="W178" s="79">
        <f t="shared" si="788"/>
        <v>0</v>
      </c>
      <c r="X178" s="80">
        <f t="shared" ref="X178:Y178" si="805">IF(O178&gt;0,O178/K178,0)</f>
        <v>0</v>
      </c>
      <c r="Y178" s="80">
        <f t="shared" si="805"/>
        <v>0</v>
      </c>
      <c r="Z178" s="80">
        <f t="shared" si="720"/>
        <v>0</v>
      </c>
      <c r="AA178" s="236"/>
      <c r="AB178" s="236"/>
      <c r="AC178" s="236"/>
      <c r="AD178" s="236"/>
      <c r="AE178" s="236"/>
      <c r="AF178" s="236"/>
      <c r="AG178" s="236"/>
      <c r="AH178" s="236"/>
      <c r="AI178" s="236"/>
      <c r="AJ178" s="236"/>
      <c r="AK178" s="236"/>
      <c r="AL178" s="236"/>
      <c r="AM178" s="236"/>
      <c r="AN178" s="236"/>
      <c r="AO178" s="236"/>
      <c r="AP178" s="236"/>
      <c r="AQ178" s="236"/>
      <c r="AR178" s="236"/>
      <c r="AS178" s="236"/>
      <c r="AT178" s="236"/>
      <c r="AU178" s="236"/>
      <c r="AV178" s="236"/>
      <c r="AW178" s="236"/>
      <c r="AX178" s="236"/>
      <c r="AY178" s="236"/>
      <c r="AZ178" s="236"/>
      <c r="BA178" s="236"/>
      <c r="BB178" s="236"/>
      <c r="BC178" s="236"/>
      <c r="BD178" s="236"/>
      <c r="BE178" s="236"/>
      <c r="BF178" s="236"/>
      <c r="BG178" s="236"/>
      <c r="BH178" s="236"/>
      <c r="BI178" s="236"/>
      <c r="BJ178" s="236"/>
      <c r="BK178" s="241">
        <v>0</v>
      </c>
      <c r="BL178" s="241">
        <v>0</v>
      </c>
      <c r="BM178" s="241">
        <v>0</v>
      </c>
      <c r="BN178" s="81">
        <f t="shared" si="790"/>
        <v>0</v>
      </c>
      <c r="BO178" s="75">
        <f t="shared" si="791"/>
        <v>0</v>
      </c>
      <c r="BP178" s="81">
        <f t="shared" si="792"/>
        <v>0</v>
      </c>
      <c r="BQ178" s="81">
        <f t="shared" si="793"/>
        <v>0</v>
      </c>
      <c r="BR178" s="81">
        <f t="shared" si="794"/>
        <v>0</v>
      </c>
      <c r="BS178" s="81">
        <f t="shared" si="795"/>
        <v>0</v>
      </c>
      <c r="BT178" s="138">
        <f t="shared" si="796"/>
        <v>210853.11</v>
      </c>
      <c r="BU178" s="81">
        <f t="shared" si="797"/>
        <v>0</v>
      </c>
      <c r="BV178" s="81">
        <f t="shared" si="798"/>
        <v>0</v>
      </c>
      <c r="BW178" s="81">
        <f t="shared" si="799"/>
        <v>210853.11</v>
      </c>
      <c r="BX178" s="1"/>
      <c r="BY178" s="1"/>
      <c r="BZ178" s="1"/>
      <c r="CA178" s="1"/>
      <c r="CB178" s="1"/>
      <c r="CC178" s="1"/>
      <c r="CD178" s="1"/>
      <c r="CE178" s="1"/>
      <c r="CF178" s="1"/>
      <c r="CG178" s="1"/>
    </row>
    <row r="179" spans="1:85" ht="15.75" customHeight="1">
      <c r="A179" s="145"/>
      <c r="B179" s="239" t="s">
        <v>432</v>
      </c>
      <c r="C179" s="86" t="s">
        <v>430</v>
      </c>
      <c r="D179" s="240" t="s">
        <v>433</v>
      </c>
      <c r="E179" s="70"/>
      <c r="F179" s="71"/>
      <c r="G179" s="71">
        <f t="shared" si="783"/>
        <v>0</v>
      </c>
      <c r="H179" s="70"/>
      <c r="I179" s="72">
        <f t="shared" si="723"/>
        <v>0</v>
      </c>
      <c r="J179" s="72">
        <f t="shared" si="724"/>
        <v>0</v>
      </c>
      <c r="K179" s="235"/>
      <c r="L179" s="236">
        <v>15200</v>
      </c>
      <c r="M179" s="236"/>
      <c r="N179" s="235"/>
      <c r="O179" s="77">
        <f t="shared" ref="O179:Q179" si="806">AA179+AD179+AG179+AJ179+AM179+AP179+AS179+AV179+AY179+BB179+BE179+BH179</f>
        <v>0</v>
      </c>
      <c r="P179" s="77">
        <f t="shared" si="806"/>
        <v>15200</v>
      </c>
      <c r="Q179" s="77">
        <f t="shared" si="806"/>
        <v>0</v>
      </c>
      <c r="R179" s="77">
        <f t="shared" ref="R179:T179" si="807">IF(BK179=0,SUM(AA179+AD179+AG179+AJ179+AM179+AP179+AS179+AV179+AY179+BB179+BE179+BH179),BK179)</f>
        <v>0</v>
      </c>
      <c r="S179" s="77">
        <f t="shared" si="807"/>
        <v>15200</v>
      </c>
      <c r="T179" s="77">
        <f t="shared" si="807"/>
        <v>0</v>
      </c>
      <c r="U179" s="79">
        <f t="shared" si="786"/>
        <v>0</v>
      </c>
      <c r="V179" s="79">
        <f t="shared" si="787"/>
        <v>0</v>
      </c>
      <c r="W179" s="79">
        <f t="shared" si="788"/>
        <v>0</v>
      </c>
      <c r="X179" s="80">
        <f t="shared" ref="X179:Y179" si="808">IF(O179&gt;0,O179/K179,0)</f>
        <v>0</v>
      </c>
      <c r="Y179" s="80">
        <f t="shared" si="808"/>
        <v>1</v>
      </c>
      <c r="Z179" s="80">
        <f t="shared" si="720"/>
        <v>0</v>
      </c>
      <c r="AA179" s="236"/>
      <c r="AB179" s="236"/>
      <c r="AC179" s="236"/>
      <c r="AD179" s="236"/>
      <c r="AE179" s="236"/>
      <c r="AF179" s="236"/>
      <c r="AG179" s="236"/>
      <c r="AH179" s="236"/>
      <c r="AI179" s="236"/>
      <c r="AJ179" s="236"/>
      <c r="AK179" s="236"/>
      <c r="AL179" s="236"/>
      <c r="AM179" s="236"/>
      <c r="AN179" s="236"/>
      <c r="AO179" s="236"/>
      <c r="AP179" s="236"/>
      <c r="AQ179" s="236"/>
      <c r="AR179" s="236"/>
      <c r="AS179" s="236"/>
      <c r="AT179" s="236"/>
      <c r="AU179" s="236"/>
      <c r="AV179" s="236"/>
      <c r="AW179" s="241">
        <v>15200</v>
      </c>
      <c r="AX179" s="236"/>
      <c r="AY179" s="236"/>
      <c r="AZ179" s="236"/>
      <c r="BA179" s="236"/>
      <c r="BB179" s="236"/>
      <c r="BC179" s="236"/>
      <c r="BD179" s="236"/>
      <c r="BE179" s="236"/>
      <c r="BF179" s="236"/>
      <c r="BG179" s="236"/>
      <c r="BH179" s="236"/>
      <c r="BI179" s="236"/>
      <c r="BJ179" s="236"/>
      <c r="BK179" s="241">
        <v>0</v>
      </c>
      <c r="BL179" s="241">
        <v>15200</v>
      </c>
      <c r="BM179" s="241">
        <v>0</v>
      </c>
      <c r="BN179" s="81">
        <f t="shared" si="790"/>
        <v>0</v>
      </c>
      <c r="BO179" s="75">
        <f t="shared" si="791"/>
        <v>0</v>
      </c>
      <c r="BP179" s="81">
        <f t="shared" si="792"/>
        <v>0</v>
      </c>
      <c r="BQ179" s="81">
        <f t="shared" si="793"/>
        <v>0</v>
      </c>
      <c r="BR179" s="81">
        <f t="shared" si="794"/>
        <v>0</v>
      </c>
      <c r="BS179" s="81">
        <f t="shared" si="795"/>
        <v>0</v>
      </c>
      <c r="BT179" s="81">
        <f t="shared" si="796"/>
        <v>0</v>
      </c>
      <c r="BU179" s="81">
        <f t="shared" si="797"/>
        <v>0</v>
      </c>
      <c r="BV179" s="81">
        <f t="shared" si="798"/>
        <v>0</v>
      </c>
      <c r="BW179" s="81">
        <f t="shared" si="799"/>
        <v>0</v>
      </c>
      <c r="BX179" s="1"/>
      <c r="BY179" s="1"/>
      <c r="BZ179" s="1"/>
      <c r="CA179" s="1"/>
      <c r="CB179" s="1"/>
      <c r="CC179" s="1"/>
      <c r="CD179" s="1"/>
      <c r="CE179" s="1"/>
      <c r="CF179" s="1"/>
      <c r="CG179" s="1"/>
    </row>
    <row r="180" spans="1:85" ht="15.75" customHeight="1">
      <c r="A180" s="145"/>
      <c r="B180" s="239" t="s">
        <v>434</v>
      </c>
      <c r="C180" s="86" t="s">
        <v>435</v>
      </c>
      <c r="D180" s="240" t="s">
        <v>436</v>
      </c>
      <c r="E180" s="70"/>
      <c r="F180" s="71"/>
      <c r="G180" s="71">
        <f t="shared" si="783"/>
        <v>0</v>
      </c>
      <c r="H180" s="70"/>
      <c r="I180" s="72">
        <f t="shared" si="723"/>
        <v>0</v>
      </c>
      <c r="J180" s="72">
        <f t="shared" si="724"/>
        <v>0</v>
      </c>
      <c r="K180" s="235"/>
      <c r="L180" s="236">
        <v>137880</v>
      </c>
      <c r="M180" s="236"/>
      <c r="N180" s="235"/>
      <c r="O180" s="77">
        <f t="shared" ref="O180:Q180" si="809">AA180+AD180+AG180+AJ180+AM180+AP180+AS180+AV180+AY180+BB180+BE180+BH180</f>
        <v>0</v>
      </c>
      <c r="P180" s="77">
        <f t="shared" si="809"/>
        <v>137880</v>
      </c>
      <c r="Q180" s="77">
        <f t="shared" si="809"/>
        <v>0</v>
      </c>
      <c r="R180" s="77">
        <f t="shared" ref="R180:T180" si="810">IF(BK180=0,SUM(AA180+AD180+AG180+AJ180+AM180+AP180+AS180+AV180+AY180+BB180+BE180+BH180),BK180)</f>
        <v>0</v>
      </c>
      <c r="S180" s="77">
        <f t="shared" si="810"/>
        <v>137880</v>
      </c>
      <c r="T180" s="77">
        <f t="shared" si="810"/>
        <v>0</v>
      </c>
      <c r="U180" s="79">
        <f t="shared" si="786"/>
        <v>0</v>
      </c>
      <c r="V180" s="79">
        <f t="shared" si="787"/>
        <v>0</v>
      </c>
      <c r="W180" s="79">
        <f t="shared" si="788"/>
        <v>0</v>
      </c>
      <c r="X180" s="80">
        <f t="shared" ref="X180:Y180" si="811">IF(O180&gt;0,O180/K180,0)</f>
        <v>0</v>
      </c>
      <c r="Y180" s="80">
        <f t="shared" si="811"/>
        <v>1</v>
      </c>
      <c r="Z180" s="80">
        <f t="shared" si="720"/>
        <v>0</v>
      </c>
      <c r="AA180" s="236"/>
      <c r="AB180" s="236"/>
      <c r="AC180" s="236"/>
      <c r="AD180" s="236"/>
      <c r="AE180" s="236"/>
      <c r="AF180" s="236"/>
      <c r="AG180" s="236"/>
      <c r="AH180" s="236"/>
      <c r="AI180" s="236"/>
      <c r="AJ180" s="236"/>
      <c r="AK180" s="236"/>
      <c r="AL180" s="236"/>
      <c r="AM180" s="236"/>
      <c r="AN180" s="236"/>
      <c r="AO180" s="236"/>
      <c r="AP180" s="236"/>
      <c r="AQ180" s="236"/>
      <c r="AR180" s="236"/>
      <c r="AS180" s="236"/>
      <c r="AT180" s="236"/>
      <c r="AU180" s="236"/>
      <c r="AV180" s="236"/>
      <c r="AW180" s="241">
        <v>137880</v>
      </c>
      <c r="AX180" s="236"/>
      <c r="AY180" s="236"/>
      <c r="AZ180" s="236"/>
      <c r="BA180" s="236"/>
      <c r="BB180" s="236"/>
      <c r="BC180" s="236"/>
      <c r="BD180" s="236"/>
      <c r="BE180" s="236"/>
      <c r="BF180" s="236"/>
      <c r="BG180" s="236"/>
      <c r="BH180" s="236"/>
      <c r="BI180" s="236"/>
      <c r="BJ180" s="236"/>
      <c r="BK180" s="241">
        <v>0</v>
      </c>
      <c r="BL180" s="241">
        <v>137880</v>
      </c>
      <c r="BM180" s="241">
        <v>0</v>
      </c>
      <c r="BN180" s="81">
        <f t="shared" si="790"/>
        <v>0</v>
      </c>
      <c r="BO180" s="75">
        <f t="shared" si="791"/>
        <v>0</v>
      </c>
      <c r="BP180" s="81">
        <f t="shared" si="792"/>
        <v>0</v>
      </c>
      <c r="BQ180" s="81">
        <f t="shared" si="793"/>
        <v>0</v>
      </c>
      <c r="BR180" s="81">
        <f t="shared" si="794"/>
        <v>0</v>
      </c>
      <c r="BS180" s="81">
        <f t="shared" si="795"/>
        <v>0</v>
      </c>
      <c r="BT180" s="81">
        <f t="shared" si="796"/>
        <v>0</v>
      </c>
      <c r="BU180" s="81">
        <f t="shared" si="797"/>
        <v>0</v>
      </c>
      <c r="BV180" s="81">
        <f t="shared" si="798"/>
        <v>0</v>
      </c>
      <c r="BW180" s="81">
        <f t="shared" si="799"/>
        <v>0</v>
      </c>
      <c r="BX180" s="1"/>
      <c r="BY180" s="1"/>
      <c r="BZ180" s="1"/>
      <c r="CA180" s="1"/>
      <c r="CB180" s="1"/>
      <c r="CC180" s="1"/>
      <c r="CD180" s="1"/>
      <c r="CE180" s="1"/>
      <c r="CF180" s="1"/>
      <c r="CG180" s="1"/>
    </row>
    <row r="181" spans="1:85" ht="15.75" customHeight="1">
      <c r="A181" s="145"/>
      <c r="B181" s="239" t="s">
        <v>437</v>
      </c>
      <c r="C181" s="86" t="s">
        <v>435</v>
      </c>
      <c r="D181" s="240" t="s">
        <v>438</v>
      </c>
      <c r="E181" s="70"/>
      <c r="F181" s="71"/>
      <c r="G181" s="71">
        <f t="shared" si="783"/>
        <v>0</v>
      </c>
      <c r="H181" s="70"/>
      <c r="I181" s="72">
        <f t="shared" si="723"/>
        <v>0</v>
      </c>
      <c r="J181" s="72">
        <f t="shared" si="724"/>
        <v>0</v>
      </c>
      <c r="K181" s="235"/>
      <c r="L181" s="236">
        <v>249850</v>
      </c>
      <c r="M181" s="236"/>
      <c r="N181" s="235"/>
      <c r="O181" s="77">
        <f t="shared" ref="O181:Q181" si="812">AA181+AD181+AG181+AJ181+AM181+AP181+AS181+AV181+AY181+BB181+BE181+BH181</f>
        <v>0</v>
      </c>
      <c r="P181" s="77">
        <f t="shared" si="812"/>
        <v>249850</v>
      </c>
      <c r="Q181" s="77">
        <f t="shared" si="812"/>
        <v>0</v>
      </c>
      <c r="R181" s="77">
        <f t="shared" ref="R181:T181" si="813">IF(BK181=0,SUM(AA181+AD181+AG181+AJ181+AM181+AP181+AS181+AV181+AY181+BB181+BE181+BH181),BK181)</f>
        <v>0</v>
      </c>
      <c r="S181" s="77">
        <f t="shared" si="813"/>
        <v>249850</v>
      </c>
      <c r="T181" s="77">
        <f t="shared" si="813"/>
        <v>0</v>
      </c>
      <c r="U181" s="79">
        <f t="shared" si="786"/>
        <v>0</v>
      </c>
      <c r="V181" s="79">
        <f t="shared" si="787"/>
        <v>0</v>
      </c>
      <c r="W181" s="79">
        <f t="shared" si="788"/>
        <v>0</v>
      </c>
      <c r="X181" s="80">
        <f t="shared" ref="X181:Y181" si="814">IF(O181&gt;0,O181/K181,0)</f>
        <v>0</v>
      </c>
      <c r="Y181" s="80">
        <f t="shared" si="814"/>
        <v>1</v>
      </c>
      <c r="Z181" s="80">
        <f t="shared" si="720"/>
        <v>0</v>
      </c>
      <c r="AA181" s="236"/>
      <c r="AB181" s="236"/>
      <c r="AC181" s="236"/>
      <c r="AD181" s="236"/>
      <c r="AE181" s="236"/>
      <c r="AF181" s="236"/>
      <c r="AG181" s="236"/>
      <c r="AH181" s="241">
        <v>249850</v>
      </c>
      <c r="AI181" s="241"/>
      <c r="AJ181" s="236"/>
      <c r="AK181" s="236"/>
      <c r="AL181" s="236"/>
      <c r="AM181" s="236"/>
      <c r="AN181" s="236"/>
      <c r="AO181" s="236"/>
      <c r="AP181" s="236"/>
      <c r="AQ181" s="236"/>
      <c r="AR181" s="236"/>
      <c r="AS181" s="236"/>
      <c r="AT181" s="236"/>
      <c r="AU181" s="236"/>
      <c r="AV181" s="236"/>
      <c r="AW181" s="236"/>
      <c r="AX181" s="236"/>
      <c r="AY181" s="236"/>
      <c r="AZ181" s="236"/>
      <c r="BA181" s="236"/>
      <c r="BB181" s="236"/>
      <c r="BC181" s="236"/>
      <c r="BD181" s="236"/>
      <c r="BE181" s="236"/>
      <c r="BF181" s="236"/>
      <c r="BG181" s="236"/>
      <c r="BH181" s="236"/>
      <c r="BI181" s="236"/>
      <c r="BJ181" s="236"/>
      <c r="BK181" s="241">
        <v>0</v>
      </c>
      <c r="BL181" s="241">
        <v>249850</v>
      </c>
      <c r="BM181" s="241">
        <v>0</v>
      </c>
      <c r="BN181" s="81">
        <f t="shared" si="790"/>
        <v>0</v>
      </c>
      <c r="BO181" s="75">
        <f t="shared" si="791"/>
        <v>0</v>
      </c>
      <c r="BP181" s="81">
        <f t="shared" si="792"/>
        <v>0</v>
      </c>
      <c r="BQ181" s="81">
        <f t="shared" si="793"/>
        <v>0</v>
      </c>
      <c r="BR181" s="81">
        <f t="shared" si="794"/>
        <v>0</v>
      </c>
      <c r="BS181" s="81">
        <f t="shared" si="795"/>
        <v>0</v>
      </c>
      <c r="BT181" s="81">
        <f t="shared" si="796"/>
        <v>0</v>
      </c>
      <c r="BU181" s="81">
        <f t="shared" si="797"/>
        <v>0</v>
      </c>
      <c r="BV181" s="81">
        <f t="shared" si="798"/>
        <v>0</v>
      </c>
      <c r="BW181" s="81">
        <f t="shared" si="799"/>
        <v>0</v>
      </c>
      <c r="BX181" s="1"/>
      <c r="BY181" s="1"/>
      <c r="BZ181" s="1"/>
      <c r="CA181" s="1"/>
      <c r="CB181" s="1"/>
      <c r="CC181" s="1"/>
      <c r="CD181" s="1"/>
      <c r="CE181" s="1"/>
      <c r="CF181" s="1"/>
      <c r="CG181" s="1"/>
    </row>
    <row r="182" spans="1:85" ht="15.75" customHeight="1">
      <c r="A182" s="242"/>
      <c r="B182" s="243" t="s">
        <v>439</v>
      </c>
      <c r="C182" s="86" t="s">
        <v>435</v>
      </c>
      <c r="D182" s="244" t="s">
        <v>440</v>
      </c>
      <c r="E182" s="70"/>
      <c r="F182" s="71"/>
      <c r="G182" s="71">
        <f t="shared" si="783"/>
        <v>0</v>
      </c>
      <c r="H182" s="70"/>
      <c r="I182" s="72">
        <f t="shared" si="723"/>
        <v>0</v>
      </c>
      <c r="J182" s="72">
        <f t="shared" si="724"/>
        <v>0</v>
      </c>
      <c r="K182" s="235"/>
      <c r="L182" s="236">
        <v>87600</v>
      </c>
      <c r="M182" s="236"/>
      <c r="N182" s="235"/>
      <c r="O182" s="77">
        <f t="shared" ref="O182:Q182" si="815">AA182+AD182+AG182+AJ182+AM182+AP182+AS182+AV182+AY182+BB182+BE182+BH182</f>
        <v>0</v>
      </c>
      <c r="P182" s="77">
        <f t="shared" si="815"/>
        <v>87600</v>
      </c>
      <c r="Q182" s="77">
        <f t="shared" si="815"/>
        <v>0</v>
      </c>
      <c r="R182" s="77">
        <f t="shared" ref="R182:T182" si="816">IF(BK182=0,SUM(AA182+AD182+AG182+AJ182+AM182+AP182+AS182+AV182+AY182+BB182+BE182+BH182),BK182)</f>
        <v>0</v>
      </c>
      <c r="S182" s="77">
        <f t="shared" si="816"/>
        <v>87600</v>
      </c>
      <c r="T182" s="77">
        <f t="shared" si="816"/>
        <v>0</v>
      </c>
      <c r="U182" s="79">
        <f t="shared" si="786"/>
        <v>0</v>
      </c>
      <c r="V182" s="79">
        <f t="shared" si="787"/>
        <v>0</v>
      </c>
      <c r="W182" s="79">
        <f t="shared" si="788"/>
        <v>0</v>
      </c>
      <c r="X182" s="80">
        <f t="shared" ref="X182:Y182" si="817">IF(O182&gt;0,O182/K182,0)</f>
        <v>0</v>
      </c>
      <c r="Y182" s="80">
        <f t="shared" si="817"/>
        <v>1</v>
      </c>
      <c r="Z182" s="80">
        <f t="shared" si="720"/>
        <v>0</v>
      </c>
      <c r="AA182" s="236"/>
      <c r="AB182" s="241">
        <v>87600</v>
      </c>
      <c r="AC182" s="236"/>
      <c r="AD182" s="236"/>
      <c r="AE182" s="236"/>
      <c r="AF182" s="236"/>
      <c r="AG182" s="236"/>
      <c r="AH182" s="236"/>
      <c r="AI182" s="236"/>
      <c r="AJ182" s="236"/>
      <c r="AK182" s="236"/>
      <c r="AL182" s="236"/>
      <c r="AM182" s="236"/>
      <c r="AN182" s="236"/>
      <c r="AO182" s="236"/>
      <c r="AP182" s="236"/>
      <c r="AQ182" s="236"/>
      <c r="AR182" s="236"/>
      <c r="AS182" s="236"/>
      <c r="AT182" s="236"/>
      <c r="AU182" s="236"/>
      <c r="AV182" s="236"/>
      <c r="AW182" s="236"/>
      <c r="AX182" s="236"/>
      <c r="AY182" s="236"/>
      <c r="AZ182" s="236"/>
      <c r="BA182" s="236"/>
      <c r="BB182" s="236"/>
      <c r="BC182" s="236"/>
      <c r="BD182" s="236"/>
      <c r="BE182" s="236"/>
      <c r="BF182" s="236"/>
      <c r="BG182" s="236"/>
      <c r="BH182" s="236"/>
      <c r="BI182" s="236"/>
      <c r="BJ182" s="236"/>
      <c r="BK182" s="241">
        <v>0</v>
      </c>
      <c r="BL182" s="241">
        <v>87600</v>
      </c>
      <c r="BM182" s="241">
        <v>0</v>
      </c>
      <c r="BN182" s="81">
        <f t="shared" si="790"/>
        <v>0</v>
      </c>
      <c r="BO182" s="75">
        <f t="shared" si="791"/>
        <v>0</v>
      </c>
      <c r="BP182" s="81">
        <f t="shared" si="792"/>
        <v>0</v>
      </c>
      <c r="BQ182" s="81">
        <f t="shared" si="793"/>
        <v>0</v>
      </c>
      <c r="BR182" s="81">
        <f t="shared" si="794"/>
        <v>0</v>
      </c>
      <c r="BS182" s="81">
        <f t="shared" si="795"/>
        <v>0</v>
      </c>
      <c r="BT182" s="81">
        <f t="shared" si="796"/>
        <v>0</v>
      </c>
      <c r="BU182" s="81">
        <f t="shared" si="797"/>
        <v>0</v>
      </c>
      <c r="BV182" s="81">
        <f t="shared" si="798"/>
        <v>0</v>
      </c>
      <c r="BW182" s="81">
        <f t="shared" si="799"/>
        <v>0</v>
      </c>
      <c r="BX182" s="1"/>
      <c r="BY182" s="1"/>
      <c r="BZ182" s="1"/>
      <c r="CA182" s="1"/>
      <c r="CB182" s="1"/>
      <c r="CC182" s="1"/>
      <c r="CD182" s="1"/>
      <c r="CE182" s="1"/>
      <c r="CF182" s="1"/>
      <c r="CG182" s="1"/>
    </row>
    <row r="183" spans="1:85" ht="15.75" customHeight="1">
      <c r="A183" s="134"/>
      <c r="B183" s="239" t="s">
        <v>441</v>
      </c>
      <c r="C183" s="86" t="s">
        <v>442</v>
      </c>
      <c r="D183" s="240" t="s">
        <v>443</v>
      </c>
      <c r="E183" s="70"/>
      <c r="F183" s="71"/>
      <c r="G183" s="71">
        <f t="shared" si="783"/>
        <v>0</v>
      </c>
      <c r="H183" s="70"/>
      <c r="I183" s="72">
        <f t="shared" si="723"/>
        <v>0</v>
      </c>
      <c r="J183" s="72">
        <f t="shared" si="724"/>
        <v>0</v>
      </c>
      <c r="K183" s="245"/>
      <c r="L183" s="83">
        <v>20776.23</v>
      </c>
      <c r="M183" s="83"/>
      <c r="N183" s="189"/>
      <c r="O183" s="77">
        <f t="shared" ref="O183:Q183" si="818">AA183+AD183+AG183+AJ183+AM183+AP183+AS183+AV183+AY183+BB183+BE183+BH183</f>
        <v>0</v>
      </c>
      <c r="P183" s="77">
        <f t="shared" si="818"/>
        <v>20776.23</v>
      </c>
      <c r="Q183" s="77">
        <f t="shared" si="818"/>
        <v>0</v>
      </c>
      <c r="R183" s="77">
        <f t="shared" ref="R183:T183" si="819">IF(BK183=0,SUM(AA183+AD183+AG183+AJ183+AM183+AP183+AS183+AV183+AY183+BB183+BE183+BH183),BK183)</f>
        <v>0</v>
      </c>
      <c r="S183" s="77">
        <f t="shared" si="819"/>
        <v>20776.23</v>
      </c>
      <c r="T183" s="77">
        <f t="shared" si="819"/>
        <v>0</v>
      </c>
      <c r="U183" s="79">
        <f t="shared" si="786"/>
        <v>0</v>
      </c>
      <c r="V183" s="79">
        <f t="shared" si="787"/>
        <v>0</v>
      </c>
      <c r="W183" s="79">
        <f t="shared" si="788"/>
        <v>0</v>
      </c>
      <c r="X183" s="80">
        <f t="shared" ref="X183:Y183" si="820">IF(O183&gt;0,O183/K183,0)</f>
        <v>0</v>
      </c>
      <c r="Y183" s="80">
        <f t="shared" si="820"/>
        <v>1</v>
      </c>
      <c r="Z183" s="80">
        <f t="shared" si="720"/>
        <v>0</v>
      </c>
      <c r="AA183" s="83"/>
      <c r="AB183" s="83"/>
      <c r="AC183" s="83"/>
      <c r="AD183" s="83"/>
      <c r="AE183" s="128">
        <v>20776.23</v>
      </c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3"/>
      <c r="BF183" s="83"/>
      <c r="BG183" s="83"/>
      <c r="BH183" s="246"/>
      <c r="BI183" s="83"/>
      <c r="BJ183" s="83"/>
      <c r="BK183" s="241">
        <v>0</v>
      </c>
      <c r="BL183" s="241">
        <v>20776.23</v>
      </c>
      <c r="BM183" s="241">
        <v>0</v>
      </c>
      <c r="BN183" s="81">
        <f t="shared" si="790"/>
        <v>0</v>
      </c>
      <c r="BO183" s="75">
        <f t="shared" si="791"/>
        <v>0</v>
      </c>
      <c r="BP183" s="81">
        <f t="shared" si="792"/>
        <v>0</v>
      </c>
      <c r="BQ183" s="81">
        <f t="shared" si="793"/>
        <v>0</v>
      </c>
      <c r="BR183" s="81">
        <f t="shared" si="794"/>
        <v>0</v>
      </c>
      <c r="BS183" s="81">
        <f t="shared" si="795"/>
        <v>0</v>
      </c>
      <c r="BT183" s="81">
        <f t="shared" si="796"/>
        <v>0</v>
      </c>
      <c r="BU183" s="81">
        <f t="shared" si="797"/>
        <v>0</v>
      </c>
      <c r="BV183" s="81">
        <f t="shared" si="798"/>
        <v>0</v>
      </c>
      <c r="BW183" s="81">
        <f t="shared" si="799"/>
        <v>0</v>
      </c>
      <c r="BX183" s="1"/>
      <c r="BY183" s="1"/>
      <c r="BZ183" s="1"/>
      <c r="CA183" s="1"/>
      <c r="CB183" s="1"/>
      <c r="CC183" s="1"/>
      <c r="CD183" s="1"/>
      <c r="CE183" s="1"/>
      <c r="CF183" s="1"/>
      <c r="CG183" s="1"/>
    </row>
    <row r="184" spans="1:85" ht="15.75" customHeight="1">
      <c r="A184" s="247"/>
      <c r="B184" s="248"/>
      <c r="C184" s="249"/>
      <c r="D184" s="250" t="s">
        <v>444</v>
      </c>
      <c r="E184" s="104">
        <f t="shared" ref="E184:H184" si="821">E185+E189+E191+E193</f>
        <v>117577.29999999999</v>
      </c>
      <c r="F184" s="251">
        <f t="shared" si="821"/>
        <v>40294.237999999998</v>
      </c>
      <c r="G184" s="251">
        <f t="shared" si="821"/>
        <v>77283.062000000005</v>
      </c>
      <c r="H184" s="251">
        <f t="shared" si="821"/>
        <v>0</v>
      </c>
      <c r="I184" s="105">
        <f t="shared" si="723"/>
        <v>0</v>
      </c>
      <c r="J184" s="105">
        <f t="shared" si="724"/>
        <v>0</v>
      </c>
      <c r="K184" s="251">
        <f t="shared" ref="K184:W184" si="822">K185+K189+K191+K193</f>
        <v>0</v>
      </c>
      <c r="L184" s="251">
        <f t="shared" si="822"/>
        <v>0</v>
      </c>
      <c r="M184" s="251">
        <f t="shared" si="822"/>
        <v>0</v>
      </c>
      <c r="N184" s="251">
        <f t="shared" si="822"/>
        <v>0</v>
      </c>
      <c r="O184" s="251">
        <f t="shared" si="822"/>
        <v>0</v>
      </c>
      <c r="P184" s="251">
        <f t="shared" si="822"/>
        <v>0</v>
      </c>
      <c r="Q184" s="251">
        <f t="shared" si="822"/>
        <v>0</v>
      </c>
      <c r="R184" s="251">
        <f t="shared" si="822"/>
        <v>0</v>
      </c>
      <c r="S184" s="251">
        <f t="shared" si="822"/>
        <v>0</v>
      </c>
      <c r="T184" s="251">
        <f t="shared" si="822"/>
        <v>0</v>
      </c>
      <c r="U184" s="251">
        <f t="shared" si="822"/>
        <v>0</v>
      </c>
      <c r="V184" s="251">
        <f t="shared" si="822"/>
        <v>0</v>
      </c>
      <c r="W184" s="251">
        <f t="shared" si="822"/>
        <v>0</v>
      </c>
      <c r="X184" s="106">
        <f t="shared" ref="X184:Y184" si="823">IF(O184&gt;0,O184/K184,0)</f>
        <v>0</v>
      </c>
      <c r="Y184" s="106">
        <f t="shared" si="823"/>
        <v>0</v>
      </c>
      <c r="Z184" s="106">
        <f t="shared" si="720"/>
        <v>0</v>
      </c>
      <c r="AA184" s="251">
        <f t="shared" ref="AA184:BW184" si="824">AA185+AA189+AA191+AA193</f>
        <v>0</v>
      </c>
      <c r="AB184" s="251">
        <f t="shared" si="824"/>
        <v>0</v>
      </c>
      <c r="AC184" s="251">
        <f t="shared" si="824"/>
        <v>0</v>
      </c>
      <c r="AD184" s="251">
        <f t="shared" si="824"/>
        <v>0</v>
      </c>
      <c r="AE184" s="251">
        <f t="shared" si="824"/>
        <v>0</v>
      </c>
      <c r="AF184" s="251">
        <f t="shared" si="824"/>
        <v>0</v>
      </c>
      <c r="AG184" s="251">
        <f t="shared" si="824"/>
        <v>0</v>
      </c>
      <c r="AH184" s="251">
        <f t="shared" si="824"/>
        <v>0</v>
      </c>
      <c r="AI184" s="251">
        <f t="shared" si="824"/>
        <v>0</v>
      </c>
      <c r="AJ184" s="251">
        <f t="shared" si="824"/>
        <v>0</v>
      </c>
      <c r="AK184" s="251">
        <f t="shared" si="824"/>
        <v>0</v>
      </c>
      <c r="AL184" s="251">
        <f t="shared" si="824"/>
        <v>0</v>
      </c>
      <c r="AM184" s="251">
        <f t="shared" si="824"/>
        <v>0</v>
      </c>
      <c r="AN184" s="251">
        <f t="shared" si="824"/>
        <v>0</v>
      </c>
      <c r="AO184" s="251">
        <f t="shared" si="824"/>
        <v>0</v>
      </c>
      <c r="AP184" s="251">
        <f t="shared" si="824"/>
        <v>0</v>
      </c>
      <c r="AQ184" s="251">
        <f t="shared" si="824"/>
        <v>0</v>
      </c>
      <c r="AR184" s="251">
        <f t="shared" si="824"/>
        <v>0</v>
      </c>
      <c r="AS184" s="251">
        <f t="shared" si="824"/>
        <v>0</v>
      </c>
      <c r="AT184" s="251">
        <f t="shared" si="824"/>
        <v>0</v>
      </c>
      <c r="AU184" s="251">
        <f t="shared" si="824"/>
        <v>0</v>
      </c>
      <c r="AV184" s="251">
        <f t="shared" si="824"/>
        <v>0</v>
      </c>
      <c r="AW184" s="251">
        <f t="shared" si="824"/>
        <v>0</v>
      </c>
      <c r="AX184" s="251">
        <f t="shared" si="824"/>
        <v>0</v>
      </c>
      <c r="AY184" s="251">
        <f t="shared" si="824"/>
        <v>0</v>
      </c>
      <c r="AZ184" s="251">
        <f t="shared" si="824"/>
        <v>0</v>
      </c>
      <c r="BA184" s="251">
        <f t="shared" si="824"/>
        <v>0</v>
      </c>
      <c r="BB184" s="251">
        <f t="shared" si="824"/>
        <v>0</v>
      </c>
      <c r="BC184" s="251">
        <f t="shared" si="824"/>
        <v>0</v>
      </c>
      <c r="BD184" s="251">
        <f t="shared" si="824"/>
        <v>0</v>
      </c>
      <c r="BE184" s="251">
        <f t="shared" si="824"/>
        <v>0</v>
      </c>
      <c r="BF184" s="251">
        <f t="shared" si="824"/>
        <v>0</v>
      </c>
      <c r="BG184" s="251">
        <f t="shared" si="824"/>
        <v>0</v>
      </c>
      <c r="BH184" s="251">
        <f t="shared" si="824"/>
        <v>0</v>
      </c>
      <c r="BI184" s="251">
        <f t="shared" si="824"/>
        <v>0</v>
      </c>
      <c r="BJ184" s="251">
        <f t="shared" si="824"/>
        <v>0</v>
      </c>
      <c r="BK184" s="251">
        <f t="shared" si="824"/>
        <v>0</v>
      </c>
      <c r="BL184" s="251">
        <f t="shared" si="824"/>
        <v>0</v>
      </c>
      <c r="BM184" s="251">
        <f t="shared" si="824"/>
        <v>0</v>
      </c>
      <c r="BN184" s="251">
        <f t="shared" si="824"/>
        <v>0</v>
      </c>
      <c r="BO184" s="251">
        <f t="shared" si="824"/>
        <v>0</v>
      </c>
      <c r="BP184" s="251">
        <f t="shared" si="824"/>
        <v>0</v>
      </c>
      <c r="BQ184" s="251">
        <f t="shared" si="824"/>
        <v>0</v>
      </c>
      <c r="BR184" s="251">
        <f t="shared" si="824"/>
        <v>0</v>
      </c>
      <c r="BS184" s="251">
        <f t="shared" si="824"/>
        <v>0</v>
      </c>
      <c r="BT184" s="251">
        <f t="shared" si="824"/>
        <v>0</v>
      </c>
      <c r="BU184" s="251">
        <f t="shared" si="824"/>
        <v>0</v>
      </c>
      <c r="BV184" s="251">
        <f t="shared" si="824"/>
        <v>0</v>
      </c>
      <c r="BW184" s="251">
        <f t="shared" si="824"/>
        <v>0</v>
      </c>
      <c r="BX184" s="1"/>
      <c r="BY184" s="1"/>
      <c r="BZ184" s="1"/>
      <c r="CA184" s="1"/>
      <c r="CB184" s="1"/>
      <c r="CC184" s="1"/>
      <c r="CD184" s="1"/>
      <c r="CE184" s="1"/>
      <c r="CF184" s="1"/>
      <c r="CG184" s="1"/>
    </row>
    <row r="185" spans="1:85" ht="15.75">
      <c r="A185" s="109"/>
      <c r="B185" s="110"/>
      <c r="C185" s="111"/>
      <c r="D185" s="112" t="s">
        <v>116</v>
      </c>
      <c r="E185" s="58">
        <f t="shared" ref="E185:H185" si="825">SUM(E186:E188)</f>
        <v>5000</v>
      </c>
      <c r="F185" s="59">
        <f t="shared" si="825"/>
        <v>0</v>
      </c>
      <c r="G185" s="59">
        <f t="shared" si="825"/>
        <v>5000</v>
      </c>
      <c r="H185" s="59">
        <f t="shared" si="825"/>
        <v>0</v>
      </c>
      <c r="I185" s="60">
        <f t="shared" si="723"/>
        <v>0</v>
      </c>
      <c r="J185" s="60">
        <f t="shared" si="724"/>
        <v>0</v>
      </c>
      <c r="K185" s="59">
        <f t="shared" ref="K185:W185" si="826">SUM(K186:K188)</f>
        <v>0</v>
      </c>
      <c r="L185" s="59">
        <f t="shared" si="826"/>
        <v>0</v>
      </c>
      <c r="M185" s="59">
        <f t="shared" si="826"/>
        <v>0</v>
      </c>
      <c r="N185" s="59">
        <f t="shared" si="826"/>
        <v>0</v>
      </c>
      <c r="O185" s="59">
        <f t="shared" si="826"/>
        <v>0</v>
      </c>
      <c r="P185" s="59">
        <f t="shared" si="826"/>
        <v>0</v>
      </c>
      <c r="Q185" s="59">
        <f t="shared" si="826"/>
        <v>0</v>
      </c>
      <c r="R185" s="59">
        <f t="shared" si="826"/>
        <v>0</v>
      </c>
      <c r="S185" s="59">
        <f t="shared" si="826"/>
        <v>0</v>
      </c>
      <c r="T185" s="59">
        <f t="shared" si="826"/>
        <v>0</v>
      </c>
      <c r="U185" s="59">
        <f t="shared" si="826"/>
        <v>0</v>
      </c>
      <c r="V185" s="59">
        <f t="shared" si="826"/>
        <v>0</v>
      </c>
      <c r="W185" s="59">
        <f t="shared" si="826"/>
        <v>0</v>
      </c>
      <c r="X185" s="63">
        <f t="shared" ref="X185:Y185" si="827">IF(O185&gt;0,O185/K185,0)</f>
        <v>0</v>
      </c>
      <c r="Y185" s="63">
        <f t="shared" si="827"/>
        <v>0</v>
      </c>
      <c r="Z185" s="63">
        <f t="shared" si="720"/>
        <v>0</v>
      </c>
      <c r="AA185" s="59">
        <f t="shared" ref="AA185:BW185" si="828">SUM(AA186:AA188)</f>
        <v>0</v>
      </c>
      <c r="AB185" s="59">
        <f t="shared" si="828"/>
        <v>0</v>
      </c>
      <c r="AC185" s="59">
        <f t="shared" si="828"/>
        <v>0</v>
      </c>
      <c r="AD185" s="59">
        <f t="shared" si="828"/>
        <v>0</v>
      </c>
      <c r="AE185" s="59">
        <f t="shared" si="828"/>
        <v>0</v>
      </c>
      <c r="AF185" s="59">
        <f t="shared" si="828"/>
        <v>0</v>
      </c>
      <c r="AG185" s="59">
        <f t="shared" si="828"/>
        <v>0</v>
      </c>
      <c r="AH185" s="59">
        <f t="shared" si="828"/>
        <v>0</v>
      </c>
      <c r="AI185" s="59">
        <f t="shared" si="828"/>
        <v>0</v>
      </c>
      <c r="AJ185" s="59">
        <f t="shared" si="828"/>
        <v>0</v>
      </c>
      <c r="AK185" s="59">
        <f t="shared" si="828"/>
        <v>0</v>
      </c>
      <c r="AL185" s="59">
        <f t="shared" si="828"/>
        <v>0</v>
      </c>
      <c r="AM185" s="59">
        <f t="shared" si="828"/>
        <v>0</v>
      </c>
      <c r="AN185" s="59">
        <f t="shared" si="828"/>
        <v>0</v>
      </c>
      <c r="AO185" s="59">
        <f t="shared" si="828"/>
        <v>0</v>
      </c>
      <c r="AP185" s="59">
        <f t="shared" si="828"/>
        <v>0</v>
      </c>
      <c r="AQ185" s="59">
        <f t="shared" si="828"/>
        <v>0</v>
      </c>
      <c r="AR185" s="59">
        <f t="shared" si="828"/>
        <v>0</v>
      </c>
      <c r="AS185" s="59">
        <f t="shared" si="828"/>
        <v>0</v>
      </c>
      <c r="AT185" s="59">
        <f t="shared" si="828"/>
        <v>0</v>
      </c>
      <c r="AU185" s="59">
        <f t="shared" si="828"/>
        <v>0</v>
      </c>
      <c r="AV185" s="59">
        <f t="shared" si="828"/>
        <v>0</v>
      </c>
      <c r="AW185" s="59">
        <f t="shared" si="828"/>
        <v>0</v>
      </c>
      <c r="AX185" s="59">
        <f t="shared" si="828"/>
        <v>0</v>
      </c>
      <c r="AY185" s="59">
        <f t="shared" si="828"/>
        <v>0</v>
      </c>
      <c r="AZ185" s="59">
        <f t="shared" si="828"/>
        <v>0</v>
      </c>
      <c r="BA185" s="59">
        <f t="shared" si="828"/>
        <v>0</v>
      </c>
      <c r="BB185" s="59">
        <f t="shared" si="828"/>
        <v>0</v>
      </c>
      <c r="BC185" s="59">
        <f t="shared" si="828"/>
        <v>0</v>
      </c>
      <c r="BD185" s="59">
        <f t="shared" si="828"/>
        <v>0</v>
      </c>
      <c r="BE185" s="59">
        <f t="shared" si="828"/>
        <v>0</v>
      </c>
      <c r="BF185" s="59">
        <f t="shared" si="828"/>
        <v>0</v>
      </c>
      <c r="BG185" s="59">
        <f t="shared" si="828"/>
        <v>0</v>
      </c>
      <c r="BH185" s="59">
        <f t="shared" si="828"/>
        <v>0</v>
      </c>
      <c r="BI185" s="59">
        <f t="shared" si="828"/>
        <v>0</v>
      </c>
      <c r="BJ185" s="59">
        <f t="shared" si="828"/>
        <v>0</v>
      </c>
      <c r="BK185" s="59">
        <f t="shared" si="828"/>
        <v>0</v>
      </c>
      <c r="BL185" s="59">
        <f t="shared" si="828"/>
        <v>0</v>
      </c>
      <c r="BM185" s="59">
        <f t="shared" si="828"/>
        <v>0</v>
      </c>
      <c r="BN185" s="59">
        <f t="shared" si="828"/>
        <v>0</v>
      </c>
      <c r="BO185" s="59">
        <f t="shared" si="828"/>
        <v>0</v>
      </c>
      <c r="BP185" s="59">
        <f t="shared" si="828"/>
        <v>0</v>
      </c>
      <c r="BQ185" s="59">
        <f t="shared" si="828"/>
        <v>0</v>
      </c>
      <c r="BR185" s="59">
        <f t="shared" si="828"/>
        <v>0</v>
      </c>
      <c r="BS185" s="59">
        <f t="shared" si="828"/>
        <v>0</v>
      </c>
      <c r="BT185" s="59">
        <f t="shared" si="828"/>
        <v>0</v>
      </c>
      <c r="BU185" s="59">
        <f t="shared" si="828"/>
        <v>0</v>
      </c>
      <c r="BV185" s="59">
        <f t="shared" si="828"/>
        <v>0</v>
      </c>
      <c r="BW185" s="59">
        <f t="shared" si="828"/>
        <v>0</v>
      </c>
      <c r="BX185" s="65"/>
      <c r="BY185" s="65"/>
      <c r="BZ185" s="65"/>
      <c r="CA185" s="65"/>
      <c r="CB185" s="65"/>
      <c r="CC185" s="65"/>
      <c r="CD185" s="65"/>
      <c r="CE185" s="65"/>
      <c r="CF185" s="65"/>
      <c r="CG185" s="65"/>
    </row>
    <row r="186" spans="1:85" ht="15.75" customHeight="1">
      <c r="A186" s="113"/>
      <c r="B186" s="67"/>
      <c r="C186" s="68" t="s">
        <v>118</v>
      </c>
      <c r="D186" s="69" t="s">
        <v>119</v>
      </c>
      <c r="E186" s="70">
        <v>5000</v>
      </c>
      <c r="F186" s="71"/>
      <c r="G186" s="71">
        <f t="shared" ref="G186:G188" si="829">E186-F186</f>
        <v>5000</v>
      </c>
      <c r="H186" s="70"/>
      <c r="I186" s="72">
        <f t="shared" si="723"/>
        <v>0</v>
      </c>
      <c r="J186" s="72">
        <f t="shared" si="724"/>
        <v>0</v>
      </c>
      <c r="K186" s="88"/>
      <c r="L186" s="74"/>
      <c r="M186" s="75"/>
      <c r="N186" s="76"/>
      <c r="O186" s="77">
        <f t="shared" ref="O186:Q186" si="830">AA186+AD186+AG186+AJ186+AM186+AP186+AS186+AV186+AY186+BB186+BE186+BH186</f>
        <v>0</v>
      </c>
      <c r="P186" s="77">
        <f t="shared" si="830"/>
        <v>0</v>
      </c>
      <c r="Q186" s="77">
        <f t="shared" si="830"/>
        <v>0</v>
      </c>
      <c r="R186" s="77">
        <f t="shared" ref="R186:T186" si="831">IF(BK186=0,SUM(AA186+AD186+AG186+AJ186+AM186+AP186+AS186+AV186+AY186+BB186+BE186+BH186),BK186)</f>
        <v>0</v>
      </c>
      <c r="S186" s="77">
        <f t="shared" si="831"/>
        <v>0</v>
      </c>
      <c r="T186" s="77">
        <f t="shared" si="831"/>
        <v>0</v>
      </c>
      <c r="U186" s="79">
        <f t="shared" ref="U186:U188" si="832">K186-O186</f>
        <v>0</v>
      </c>
      <c r="V186" s="79">
        <f t="shared" ref="V186:V188" si="833">L186-M186-S186</f>
        <v>0</v>
      </c>
      <c r="W186" s="79">
        <f t="shared" ref="W186:W188" si="834">N186-Q186</f>
        <v>0</v>
      </c>
      <c r="X186" s="80">
        <f t="shared" ref="X186:Y186" si="835">IF(O186&gt;0,O186/K186,0)</f>
        <v>0</v>
      </c>
      <c r="Y186" s="80">
        <f t="shared" si="835"/>
        <v>0</v>
      </c>
      <c r="Z186" s="80">
        <f t="shared" si="720"/>
        <v>0</v>
      </c>
      <c r="AA186" s="81"/>
      <c r="AB186" s="81"/>
      <c r="AC186" s="81"/>
      <c r="AD186" s="81"/>
      <c r="AE186" s="83"/>
      <c r="AF186" s="83"/>
      <c r="AG186" s="83"/>
      <c r="AH186" s="83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  <c r="BE186" s="81"/>
      <c r="BF186" s="81"/>
      <c r="BG186" s="81"/>
      <c r="BH186" s="81"/>
      <c r="BI186" s="81"/>
      <c r="BJ186" s="81"/>
      <c r="BK186" s="241">
        <v>0</v>
      </c>
      <c r="BL186" s="241">
        <v>0</v>
      </c>
      <c r="BM186" s="241">
        <v>0</v>
      </c>
      <c r="BN186" s="81">
        <f t="shared" ref="BN186:BN188" si="836">IF(O186-BK186&gt;0,O186-BK186,0)</f>
        <v>0</v>
      </c>
      <c r="BO186" s="75">
        <f t="shared" ref="BO186:BO188" si="837">IF(Q186-BM186&gt;0,Q186-BM186,0)</f>
        <v>0</v>
      </c>
      <c r="BP186" s="81">
        <f t="shared" ref="BP186:BP188" si="838">IF(BN186+BO186&gt;0,BN186+BO186,0)</f>
        <v>0</v>
      </c>
      <c r="BQ186" s="81">
        <f t="shared" ref="BQ186:BQ188" si="839">IF(U186=0,0,U186)</f>
        <v>0</v>
      </c>
      <c r="BR186" s="81">
        <f t="shared" ref="BR186:BR188" si="840">IF(W186=0,0,W186)</f>
        <v>0</v>
      </c>
      <c r="BS186" s="81">
        <f t="shared" ref="BS186:BS188" si="841">IF(BQ186+BR186&gt;0,BQ186+BR186,0)</f>
        <v>0</v>
      </c>
      <c r="BT186" s="81">
        <f t="shared" ref="BT186:BT188" si="842">IF(V186&gt;0,V186,0)</f>
        <v>0</v>
      </c>
      <c r="BU186" s="81">
        <f t="shared" ref="BU186:BU188" si="843">IF(BP186=0,0,BP186)</f>
        <v>0</v>
      </c>
      <c r="BV186" s="81">
        <f t="shared" ref="BV186:BV188" si="844">IF(BS186=0,0,BS186)</f>
        <v>0</v>
      </c>
      <c r="BW186" s="81">
        <f t="shared" ref="BW186:BW188" si="845">IF(BP186+BT186+BV186&gt;0,BP186+BT186+BV186,0)</f>
        <v>0</v>
      </c>
      <c r="BX186" s="1"/>
      <c r="BY186" s="1"/>
      <c r="BZ186" s="1"/>
      <c r="CA186" s="1"/>
      <c r="CB186" s="1"/>
      <c r="CC186" s="1"/>
      <c r="CD186" s="1"/>
      <c r="CE186" s="1"/>
      <c r="CF186" s="1"/>
      <c r="CG186" s="1"/>
    </row>
    <row r="187" spans="1:85" ht="15.75" customHeight="1">
      <c r="A187" s="84"/>
      <c r="B187" s="115"/>
      <c r="C187" s="86" t="s">
        <v>120</v>
      </c>
      <c r="D187" s="87" t="s">
        <v>445</v>
      </c>
      <c r="E187" s="70"/>
      <c r="F187" s="71"/>
      <c r="G187" s="71">
        <f t="shared" si="829"/>
        <v>0</v>
      </c>
      <c r="H187" s="70"/>
      <c r="I187" s="72">
        <f t="shared" si="723"/>
        <v>0</v>
      </c>
      <c r="J187" s="72">
        <f t="shared" si="724"/>
        <v>0</v>
      </c>
      <c r="K187" s="88"/>
      <c r="L187" s="74"/>
      <c r="M187" s="75"/>
      <c r="N187" s="76"/>
      <c r="O187" s="77">
        <f t="shared" ref="O187:Q187" si="846">AA187+AD187+AG187+AJ187+AM187+AP187+AS187+AV187+AY187+BB187+BE187+BH187</f>
        <v>0</v>
      </c>
      <c r="P187" s="77">
        <f t="shared" si="846"/>
        <v>0</v>
      </c>
      <c r="Q187" s="77">
        <f t="shared" si="846"/>
        <v>0</v>
      </c>
      <c r="R187" s="77">
        <f t="shared" ref="R187:T187" si="847">IF(BK187=0,SUM(AA187+AD187+AG187+AJ187+AM187+AP187+AS187+AV187+AY187+BB187+BE187+BH187),BK187)</f>
        <v>0</v>
      </c>
      <c r="S187" s="77">
        <f t="shared" si="847"/>
        <v>0</v>
      </c>
      <c r="T187" s="77">
        <f t="shared" si="847"/>
        <v>0</v>
      </c>
      <c r="U187" s="79">
        <f t="shared" si="832"/>
        <v>0</v>
      </c>
      <c r="V187" s="79">
        <f t="shared" si="833"/>
        <v>0</v>
      </c>
      <c r="W187" s="79">
        <f t="shared" si="834"/>
        <v>0</v>
      </c>
      <c r="X187" s="80">
        <f t="shared" ref="X187:Y187" si="848">IF(O187&gt;0,O187/K187,0)</f>
        <v>0</v>
      </c>
      <c r="Y187" s="80">
        <f t="shared" si="848"/>
        <v>0</v>
      </c>
      <c r="Z187" s="80">
        <f t="shared" si="720"/>
        <v>0</v>
      </c>
      <c r="AA187" s="81"/>
      <c r="AB187" s="81"/>
      <c r="AC187" s="81"/>
      <c r="AD187" s="81"/>
      <c r="AE187" s="83"/>
      <c r="AF187" s="83"/>
      <c r="AG187" s="83"/>
      <c r="AH187" s="83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1"/>
      <c r="BE187" s="81"/>
      <c r="BF187" s="81"/>
      <c r="BG187" s="81"/>
      <c r="BH187" s="81"/>
      <c r="BI187" s="81"/>
      <c r="BJ187" s="81"/>
      <c r="BK187" s="241">
        <v>0</v>
      </c>
      <c r="BL187" s="241">
        <v>0</v>
      </c>
      <c r="BM187" s="241">
        <v>0</v>
      </c>
      <c r="BN187" s="81">
        <f t="shared" si="836"/>
        <v>0</v>
      </c>
      <c r="BO187" s="75">
        <f t="shared" si="837"/>
        <v>0</v>
      </c>
      <c r="BP187" s="81">
        <f t="shared" si="838"/>
        <v>0</v>
      </c>
      <c r="BQ187" s="81">
        <f t="shared" si="839"/>
        <v>0</v>
      </c>
      <c r="BR187" s="81">
        <f t="shared" si="840"/>
        <v>0</v>
      </c>
      <c r="BS187" s="81">
        <f t="shared" si="841"/>
        <v>0</v>
      </c>
      <c r="BT187" s="81">
        <f t="shared" si="842"/>
        <v>0</v>
      </c>
      <c r="BU187" s="81">
        <f t="shared" si="843"/>
        <v>0</v>
      </c>
      <c r="BV187" s="81">
        <f t="shared" si="844"/>
        <v>0</v>
      </c>
      <c r="BW187" s="81">
        <f t="shared" si="845"/>
        <v>0</v>
      </c>
      <c r="BX187" s="1"/>
      <c r="BY187" s="1"/>
      <c r="BZ187" s="1"/>
      <c r="CA187" s="1"/>
      <c r="CB187" s="1"/>
      <c r="CC187" s="1"/>
      <c r="CD187" s="1"/>
      <c r="CE187" s="1"/>
      <c r="CF187" s="1"/>
      <c r="CG187" s="1"/>
    </row>
    <row r="188" spans="1:85" ht="15.75" customHeight="1">
      <c r="A188" s="108"/>
      <c r="B188" s="90"/>
      <c r="C188" s="91" t="s">
        <v>123</v>
      </c>
      <c r="D188" s="92" t="s">
        <v>124</v>
      </c>
      <c r="E188" s="70"/>
      <c r="F188" s="71"/>
      <c r="G188" s="71">
        <f t="shared" si="829"/>
        <v>0</v>
      </c>
      <c r="H188" s="70"/>
      <c r="I188" s="72">
        <f t="shared" si="723"/>
        <v>0</v>
      </c>
      <c r="J188" s="72">
        <f t="shared" si="724"/>
        <v>0</v>
      </c>
      <c r="K188" s="252"/>
      <c r="L188" s="74"/>
      <c r="M188" s="75"/>
      <c r="N188" s="76"/>
      <c r="O188" s="77">
        <f t="shared" ref="O188:Q188" si="849">AA188+AD188+AG188+AJ188+AM188+AP188+AS188+AV188+AY188+BB188+BE188+BH188</f>
        <v>0</v>
      </c>
      <c r="P188" s="77">
        <f t="shared" si="849"/>
        <v>0</v>
      </c>
      <c r="Q188" s="77">
        <f t="shared" si="849"/>
        <v>0</v>
      </c>
      <c r="R188" s="77">
        <f t="shared" ref="R188:T188" si="850">IF(BK188=0,SUM(AA188+AD188+AG188+AJ188+AM188+AP188+AS188+AV188+AY188+BB188+BE188+BH188),BK188)</f>
        <v>0</v>
      </c>
      <c r="S188" s="77">
        <f t="shared" si="850"/>
        <v>0</v>
      </c>
      <c r="T188" s="77">
        <f t="shared" si="850"/>
        <v>0</v>
      </c>
      <c r="U188" s="79">
        <f t="shared" si="832"/>
        <v>0</v>
      </c>
      <c r="V188" s="79">
        <f t="shared" si="833"/>
        <v>0</v>
      </c>
      <c r="W188" s="79">
        <f t="shared" si="834"/>
        <v>0</v>
      </c>
      <c r="X188" s="80">
        <f t="shared" ref="X188:Y188" si="851">IF(O188&gt;0,O188/K188,0)</f>
        <v>0</v>
      </c>
      <c r="Y188" s="80">
        <f t="shared" si="851"/>
        <v>0</v>
      </c>
      <c r="Z188" s="80">
        <f t="shared" si="720"/>
        <v>0</v>
      </c>
      <c r="AA188" s="81"/>
      <c r="AB188" s="81"/>
      <c r="AC188" s="81"/>
      <c r="AD188" s="81"/>
      <c r="AE188" s="83"/>
      <c r="AF188" s="83"/>
      <c r="AG188" s="83"/>
      <c r="AH188" s="83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  <c r="BE188" s="81"/>
      <c r="BF188" s="81"/>
      <c r="BG188" s="81"/>
      <c r="BH188" s="81"/>
      <c r="BI188" s="81"/>
      <c r="BJ188" s="81"/>
      <c r="BK188" s="241">
        <v>0</v>
      </c>
      <c r="BL188" s="241">
        <v>0</v>
      </c>
      <c r="BM188" s="241">
        <v>0</v>
      </c>
      <c r="BN188" s="81">
        <f t="shared" si="836"/>
        <v>0</v>
      </c>
      <c r="BO188" s="75">
        <f t="shared" si="837"/>
        <v>0</v>
      </c>
      <c r="BP188" s="81">
        <f t="shared" si="838"/>
        <v>0</v>
      </c>
      <c r="BQ188" s="81">
        <f t="shared" si="839"/>
        <v>0</v>
      </c>
      <c r="BR188" s="81">
        <f t="shared" si="840"/>
        <v>0</v>
      </c>
      <c r="BS188" s="81">
        <f t="shared" si="841"/>
        <v>0</v>
      </c>
      <c r="BT188" s="81">
        <f t="shared" si="842"/>
        <v>0</v>
      </c>
      <c r="BU188" s="81">
        <f t="shared" si="843"/>
        <v>0</v>
      </c>
      <c r="BV188" s="81">
        <f t="shared" si="844"/>
        <v>0</v>
      </c>
      <c r="BW188" s="81">
        <f t="shared" si="845"/>
        <v>0</v>
      </c>
      <c r="BX188" s="1"/>
      <c r="BY188" s="1"/>
      <c r="BZ188" s="1"/>
      <c r="CA188" s="1"/>
      <c r="CB188" s="1"/>
      <c r="CC188" s="1"/>
      <c r="CD188" s="1"/>
      <c r="CE188" s="1"/>
      <c r="CF188" s="1"/>
      <c r="CG188" s="1"/>
    </row>
    <row r="189" spans="1:85" ht="15.75">
      <c r="A189" s="109"/>
      <c r="B189" s="110"/>
      <c r="C189" s="111"/>
      <c r="D189" s="112" t="s">
        <v>251</v>
      </c>
      <c r="E189" s="58">
        <f t="shared" ref="E189:H189" si="852">SUM(E190)</f>
        <v>20000</v>
      </c>
      <c r="F189" s="59">
        <f t="shared" si="852"/>
        <v>0</v>
      </c>
      <c r="G189" s="59">
        <f t="shared" si="852"/>
        <v>20000</v>
      </c>
      <c r="H189" s="59">
        <f t="shared" si="852"/>
        <v>0</v>
      </c>
      <c r="I189" s="60">
        <f t="shared" si="723"/>
        <v>0</v>
      </c>
      <c r="J189" s="60">
        <f t="shared" si="724"/>
        <v>0</v>
      </c>
      <c r="K189" s="59">
        <f t="shared" ref="K189:W189" si="853">SUM(K190)</f>
        <v>0</v>
      </c>
      <c r="L189" s="59">
        <f t="shared" si="853"/>
        <v>0</v>
      </c>
      <c r="M189" s="59">
        <f t="shared" si="853"/>
        <v>0</v>
      </c>
      <c r="N189" s="59">
        <f t="shared" si="853"/>
        <v>0</v>
      </c>
      <c r="O189" s="59">
        <f t="shared" si="853"/>
        <v>0</v>
      </c>
      <c r="P189" s="59">
        <f t="shared" si="853"/>
        <v>0</v>
      </c>
      <c r="Q189" s="59">
        <f t="shared" si="853"/>
        <v>0</v>
      </c>
      <c r="R189" s="59">
        <f t="shared" si="853"/>
        <v>0</v>
      </c>
      <c r="S189" s="59">
        <f t="shared" si="853"/>
        <v>0</v>
      </c>
      <c r="T189" s="59">
        <f t="shared" si="853"/>
        <v>0</v>
      </c>
      <c r="U189" s="59">
        <f t="shared" si="853"/>
        <v>0</v>
      </c>
      <c r="V189" s="59">
        <f t="shared" si="853"/>
        <v>0</v>
      </c>
      <c r="W189" s="59">
        <f t="shared" si="853"/>
        <v>0</v>
      </c>
      <c r="X189" s="63">
        <f t="shared" ref="X189:Y189" si="854">IF(O189&gt;0,O189/K189,0)</f>
        <v>0</v>
      </c>
      <c r="Y189" s="63">
        <f t="shared" si="854"/>
        <v>0</v>
      </c>
      <c r="Z189" s="63">
        <f t="shared" si="720"/>
        <v>0</v>
      </c>
      <c r="AA189" s="59">
        <f t="shared" ref="AA189:BW193" si="855">SUM(AA190)</f>
        <v>0</v>
      </c>
      <c r="AB189" s="59">
        <f t="shared" si="855"/>
        <v>0</v>
      </c>
      <c r="AC189" s="59">
        <f t="shared" si="855"/>
        <v>0</v>
      </c>
      <c r="AD189" s="59">
        <f t="shared" si="855"/>
        <v>0</v>
      </c>
      <c r="AE189" s="59">
        <f t="shared" si="855"/>
        <v>0</v>
      </c>
      <c r="AF189" s="59">
        <f t="shared" si="855"/>
        <v>0</v>
      </c>
      <c r="AG189" s="59">
        <f t="shared" si="855"/>
        <v>0</v>
      </c>
      <c r="AH189" s="59">
        <f t="shared" si="855"/>
        <v>0</v>
      </c>
      <c r="AI189" s="59">
        <f t="shared" si="855"/>
        <v>0</v>
      </c>
      <c r="AJ189" s="59">
        <f t="shared" si="855"/>
        <v>0</v>
      </c>
      <c r="AK189" s="59">
        <f t="shared" si="855"/>
        <v>0</v>
      </c>
      <c r="AL189" s="59">
        <f t="shared" si="855"/>
        <v>0</v>
      </c>
      <c r="AM189" s="59">
        <f t="shared" si="855"/>
        <v>0</v>
      </c>
      <c r="AN189" s="59">
        <f t="shared" si="855"/>
        <v>0</v>
      </c>
      <c r="AO189" s="59">
        <f t="shared" si="855"/>
        <v>0</v>
      </c>
      <c r="AP189" s="59">
        <f t="shared" si="855"/>
        <v>0</v>
      </c>
      <c r="AQ189" s="59">
        <f t="shared" si="855"/>
        <v>0</v>
      </c>
      <c r="AR189" s="59">
        <f t="shared" si="855"/>
        <v>0</v>
      </c>
      <c r="AS189" s="59">
        <f t="shared" si="855"/>
        <v>0</v>
      </c>
      <c r="AT189" s="59">
        <f t="shared" si="855"/>
        <v>0</v>
      </c>
      <c r="AU189" s="59">
        <f t="shared" si="855"/>
        <v>0</v>
      </c>
      <c r="AV189" s="59">
        <f t="shared" si="855"/>
        <v>0</v>
      </c>
      <c r="AW189" s="59">
        <f t="shared" si="855"/>
        <v>0</v>
      </c>
      <c r="AX189" s="59">
        <f t="shared" si="855"/>
        <v>0</v>
      </c>
      <c r="AY189" s="59">
        <f t="shared" si="855"/>
        <v>0</v>
      </c>
      <c r="AZ189" s="59">
        <f t="shared" si="855"/>
        <v>0</v>
      </c>
      <c r="BA189" s="59">
        <f t="shared" si="855"/>
        <v>0</v>
      </c>
      <c r="BB189" s="59">
        <f t="shared" si="855"/>
        <v>0</v>
      </c>
      <c r="BC189" s="59">
        <f t="shared" si="855"/>
        <v>0</v>
      </c>
      <c r="BD189" s="59">
        <f t="shared" si="855"/>
        <v>0</v>
      </c>
      <c r="BE189" s="59">
        <f t="shared" si="855"/>
        <v>0</v>
      </c>
      <c r="BF189" s="59">
        <f t="shared" si="855"/>
        <v>0</v>
      </c>
      <c r="BG189" s="59">
        <f t="shared" si="855"/>
        <v>0</v>
      </c>
      <c r="BH189" s="59">
        <f t="shared" si="855"/>
        <v>0</v>
      </c>
      <c r="BI189" s="59">
        <f t="shared" si="855"/>
        <v>0</v>
      </c>
      <c r="BJ189" s="59">
        <f t="shared" si="855"/>
        <v>0</v>
      </c>
      <c r="BK189" s="59">
        <f t="shared" si="855"/>
        <v>0</v>
      </c>
      <c r="BL189" s="59">
        <f t="shared" si="855"/>
        <v>0</v>
      </c>
      <c r="BM189" s="59">
        <f t="shared" si="855"/>
        <v>0</v>
      </c>
      <c r="BN189" s="59">
        <f t="shared" si="855"/>
        <v>0</v>
      </c>
      <c r="BO189" s="59">
        <f t="shared" si="855"/>
        <v>0</v>
      </c>
      <c r="BP189" s="59">
        <f t="shared" si="855"/>
        <v>0</v>
      </c>
      <c r="BQ189" s="59">
        <f t="shared" si="855"/>
        <v>0</v>
      </c>
      <c r="BR189" s="59">
        <f t="shared" si="855"/>
        <v>0</v>
      </c>
      <c r="BS189" s="59">
        <f t="shared" si="855"/>
        <v>0</v>
      </c>
      <c r="BT189" s="59">
        <f t="shared" si="855"/>
        <v>0</v>
      </c>
      <c r="BU189" s="59">
        <f t="shared" si="855"/>
        <v>0</v>
      </c>
      <c r="BV189" s="59">
        <f t="shared" si="855"/>
        <v>0</v>
      </c>
      <c r="BW189" s="59">
        <f t="shared" si="855"/>
        <v>0</v>
      </c>
      <c r="BX189" s="65"/>
      <c r="BY189" s="65"/>
      <c r="BZ189" s="65"/>
      <c r="CA189" s="65"/>
      <c r="CB189" s="65"/>
      <c r="CC189" s="65"/>
      <c r="CD189" s="65"/>
      <c r="CE189" s="65"/>
      <c r="CF189" s="65"/>
      <c r="CG189" s="65"/>
    </row>
    <row r="190" spans="1:85" ht="15.75" customHeight="1">
      <c r="A190" s="253"/>
      <c r="B190" s="254"/>
      <c r="C190" s="185" t="s">
        <v>256</v>
      </c>
      <c r="D190" s="255" t="s">
        <v>446</v>
      </c>
      <c r="E190" s="70">
        <v>20000</v>
      </c>
      <c r="F190" s="71"/>
      <c r="G190" s="71">
        <f>E190-F190</f>
        <v>20000</v>
      </c>
      <c r="H190" s="70"/>
      <c r="I190" s="72">
        <f t="shared" si="723"/>
        <v>0</v>
      </c>
      <c r="J190" s="72">
        <f t="shared" si="724"/>
        <v>0</v>
      </c>
      <c r="K190" s="252"/>
      <c r="L190" s="74"/>
      <c r="M190" s="75"/>
      <c r="N190" s="76"/>
      <c r="O190" s="77">
        <f t="shared" ref="O190:Q190" si="856">AA190+AD190+AG190+AJ190+AM190+AP190+AS190+AV190+AY190+BB190+BE190+BH190</f>
        <v>0</v>
      </c>
      <c r="P190" s="77">
        <f t="shared" si="856"/>
        <v>0</v>
      </c>
      <c r="Q190" s="77">
        <f t="shared" si="856"/>
        <v>0</v>
      </c>
      <c r="R190" s="77">
        <f t="shared" ref="R190:T190" si="857">IF(BK190=0,SUM(AA190+AD190+AG190+AJ190+AM190+AP190+AS190+AV190+AY190+BB190+BE190+BH190),BK190)</f>
        <v>0</v>
      </c>
      <c r="S190" s="77">
        <f t="shared" si="857"/>
        <v>0</v>
      </c>
      <c r="T190" s="77">
        <f t="shared" si="857"/>
        <v>0</v>
      </c>
      <c r="U190" s="79">
        <f t="shared" ref="U190:U194" si="858">K190-O190</f>
        <v>0</v>
      </c>
      <c r="V190" s="79">
        <f>L190-M190-S190</f>
        <v>0</v>
      </c>
      <c r="W190" s="79">
        <f t="shared" ref="W190:W194" si="859">N190-Q190</f>
        <v>0</v>
      </c>
      <c r="X190" s="80">
        <f t="shared" ref="X190:Y190" si="860">IF(O190&gt;0,O190/K190,0)</f>
        <v>0</v>
      </c>
      <c r="Y190" s="80">
        <f t="shared" si="860"/>
        <v>0</v>
      </c>
      <c r="Z190" s="80">
        <f t="shared" si="720"/>
        <v>0</v>
      </c>
      <c r="AA190" s="81"/>
      <c r="AB190" s="81"/>
      <c r="AC190" s="81"/>
      <c r="AD190" s="81"/>
      <c r="AE190" s="83"/>
      <c r="AF190" s="83"/>
      <c r="AG190" s="83"/>
      <c r="AH190" s="83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  <c r="BE190" s="81"/>
      <c r="BF190" s="81"/>
      <c r="BG190" s="81"/>
      <c r="BH190" s="81"/>
      <c r="BI190" s="81"/>
      <c r="BJ190" s="81"/>
      <c r="BK190" s="241">
        <v>0</v>
      </c>
      <c r="BL190" s="241">
        <v>0</v>
      </c>
      <c r="BM190" s="241">
        <v>0</v>
      </c>
      <c r="BN190" s="81">
        <f>IF(O190-BK190&gt;0,O190-BK190,0)</f>
        <v>0</v>
      </c>
      <c r="BO190" s="75">
        <f>IF(Q190-BM190&gt;0,Q190-BM190,0)</f>
        <v>0</v>
      </c>
      <c r="BP190" s="81">
        <f>IF(BN190+BO190&gt;0,BN190+BO190,0)</f>
        <v>0</v>
      </c>
      <c r="BQ190" s="81">
        <f>IF(U190=0,0,U190)</f>
        <v>0</v>
      </c>
      <c r="BR190" s="81">
        <f>IF(W190=0,0,W190)</f>
        <v>0</v>
      </c>
      <c r="BS190" s="81">
        <f>IF(BQ190+BR190&gt;0,BQ190+BR190,0)</f>
        <v>0</v>
      </c>
      <c r="BT190" s="81">
        <f>IF(V190&gt;0,V190,0)</f>
        <v>0</v>
      </c>
      <c r="BU190" s="81">
        <f>IF(BP190=0,0,BP190)</f>
        <v>0</v>
      </c>
      <c r="BV190" s="81">
        <f>IF(BS190=0,0,BS190)</f>
        <v>0</v>
      </c>
      <c r="BW190" s="81">
        <f>IF(BP190+BT190+BV190&gt;0,BP190+BT190+BV190,0)</f>
        <v>0</v>
      </c>
      <c r="BX190" s="1"/>
      <c r="BY190" s="1"/>
      <c r="BZ190" s="1"/>
      <c r="CA190" s="1"/>
      <c r="CB190" s="1"/>
      <c r="CC190" s="1"/>
      <c r="CD190" s="1"/>
      <c r="CE190" s="1"/>
      <c r="CF190" s="1"/>
      <c r="CG190" s="1"/>
    </row>
    <row r="191" spans="1:85" ht="15.75" customHeight="1">
      <c r="A191" s="256"/>
      <c r="B191" s="257"/>
      <c r="C191" s="111"/>
      <c r="D191" s="258" t="s">
        <v>447</v>
      </c>
      <c r="E191" s="58">
        <f t="shared" ref="E191:H191" si="861">E192</f>
        <v>46288.65</v>
      </c>
      <c r="F191" s="59">
        <f t="shared" si="861"/>
        <v>5045.4579999999987</v>
      </c>
      <c r="G191" s="59">
        <f t="shared" si="861"/>
        <v>41243.192000000003</v>
      </c>
      <c r="H191" s="59">
        <f t="shared" si="861"/>
        <v>0</v>
      </c>
      <c r="I191" s="60">
        <f t="shared" si="723"/>
        <v>0</v>
      </c>
      <c r="J191" s="60">
        <f t="shared" si="724"/>
        <v>0</v>
      </c>
      <c r="K191" s="59">
        <f t="shared" ref="K191:N191" si="862">K192</f>
        <v>0</v>
      </c>
      <c r="L191" s="59">
        <f t="shared" si="862"/>
        <v>0</v>
      </c>
      <c r="M191" s="59">
        <f t="shared" si="862"/>
        <v>0</v>
      </c>
      <c r="N191" s="59">
        <f t="shared" si="862"/>
        <v>0</v>
      </c>
      <c r="O191" s="64">
        <f t="shared" ref="O191:Q191" si="863">AA191+AD191+AG191+AJ191+AM191+AP191+AS191+AV191+AY191+BB191+BE191+BH191</f>
        <v>0</v>
      </c>
      <c r="P191" s="64">
        <f t="shared" si="863"/>
        <v>0</v>
      </c>
      <c r="Q191" s="64">
        <f t="shared" si="863"/>
        <v>0</v>
      </c>
      <c r="R191" s="64">
        <f t="shared" ref="R191:T191" si="864">IF(BK191=0,SUM(AA191+AD191+AG191+AJ191+AM191+AP191+AS191+AV191+AY191+BB191+BE191+BH191),BK191)</f>
        <v>0</v>
      </c>
      <c r="S191" s="64">
        <f t="shared" si="864"/>
        <v>0</v>
      </c>
      <c r="T191" s="64">
        <f t="shared" si="864"/>
        <v>0</v>
      </c>
      <c r="U191" s="259">
        <f t="shared" si="858"/>
        <v>0</v>
      </c>
      <c r="V191" s="259">
        <f>L191-P191-M191</f>
        <v>0</v>
      </c>
      <c r="W191" s="259">
        <f t="shared" si="859"/>
        <v>0</v>
      </c>
      <c r="X191" s="63">
        <f t="shared" ref="X191:Y191" si="865">IF(O191&gt;0,O191/K191,0)</f>
        <v>0</v>
      </c>
      <c r="Y191" s="63">
        <f t="shared" si="865"/>
        <v>0</v>
      </c>
      <c r="Z191" s="63">
        <f t="shared" si="720"/>
        <v>0</v>
      </c>
      <c r="AA191" s="260"/>
      <c r="AB191" s="260"/>
      <c r="AC191" s="260"/>
      <c r="AD191" s="260"/>
      <c r="AE191" s="260"/>
      <c r="AF191" s="260"/>
      <c r="AG191" s="260"/>
      <c r="AH191" s="260"/>
      <c r="AI191" s="260"/>
      <c r="AJ191" s="260"/>
      <c r="AK191" s="260"/>
      <c r="AL191" s="260"/>
      <c r="AM191" s="260"/>
      <c r="AN191" s="260"/>
      <c r="AO191" s="260"/>
      <c r="AP191" s="260"/>
      <c r="AQ191" s="260"/>
      <c r="AR191" s="260"/>
      <c r="AS191" s="260"/>
      <c r="AT191" s="260"/>
      <c r="AU191" s="260"/>
      <c r="AV191" s="260"/>
      <c r="AW191" s="260"/>
      <c r="AX191" s="260"/>
      <c r="AY191" s="260"/>
      <c r="AZ191" s="260"/>
      <c r="BA191" s="260"/>
      <c r="BB191" s="260"/>
      <c r="BC191" s="260"/>
      <c r="BD191" s="260"/>
      <c r="BE191" s="260"/>
      <c r="BF191" s="260"/>
      <c r="BG191" s="260"/>
      <c r="BH191" s="260"/>
      <c r="BI191" s="260"/>
      <c r="BJ191" s="260"/>
      <c r="BK191" s="59">
        <f t="shared" si="855"/>
        <v>0</v>
      </c>
      <c r="BL191" s="59">
        <f t="shared" si="855"/>
        <v>0</v>
      </c>
      <c r="BM191" s="59">
        <f t="shared" si="855"/>
        <v>0</v>
      </c>
      <c r="BN191" s="59">
        <f t="shared" si="855"/>
        <v>0</v>
      </c>
      <c r="BO191" s="59">
        <f t="shared" si="855"/>
        <v>0</v>
      </c>
      <c r="BP191" s="59">
        <f t="shared" si="855"/>
        <v>0</v>
      </c>
      <c r="BQ191" s="59">
        <f t="shared" si="855"/>
        <v>0</v>
      </c>
      <c r="BR191" s="59">
        <f t="shared" si="855"/>
        <v>0</v>
      </c>
      <c r="BS191" s="59">
        <f t="shared" si="855"/>
        <v>0</v>
      </c>
      <c r="BT191" s="59">
        <f t="shared" si="855"/>
        <v>0</v>
      </c>
      <c r="BU191" s="59">
        <f t="shared" si="855"/>
        <v>0</v>
      </c>
      <c r="BV191" s="59">
        <f t="shared" si="855"/>
        <v>0</v>
      </c>
      <c r="BW191" s="59">
        <f t="shared" si="855"/>
        <v>0</v>
      </c>
      <c r="BX191" s="261"/>
      <c r="BY191" s="261"/>
      <c r="BZ191" s="261"/>
      <c r="CA191" s="261"/>
      <c r="CB191" s="261"/>
      <c r="CC191" s="261"/>
      <c r="CD191" s="261"/>
      <c r="CE191" s="261"/>
      <c r="CF191" s="261"/>
      <c r="CG191" s="261"/>
    </row>
    <row r="192" spans="1:85" ht="15.75" customHeight="1">
      <c r="A192" s="262"/>
      <c r="B192" s="263"/>
      <c r="C192" s="264" t="s">
        <v>448</v>
      </c>
      <c r="D192" s="255" t="s">
        <v>449</v>
      </c>
      <c r="E192" s="70">
        <v>46288.65</v>
      </c>
      <c r="F192" s="265">
        <f>E192-(4124319.2*1%)</f>
        <v>5045.4579999999987</v>
      </c>
      <c r="G192" s="71">
        <f>E192-F192</f>
        <v>41243.192000000003</v>
      </c>
      <c r="H192" s="70"/>
      <c r="I192" s="72">
        <f t="shared" si="723"/>
        <v>0</v>
      </c>
      <c r="J192" s="72">
        <f t="shared" si="724"/>
        <v>0</v>
      </c>
      <c r="K192" s="266"/>
      <c r="L192" s="267"/>
      <c r="M192" s="83"/>
      <c r="N192" s="266"/>
      <c r="O192" s="77">
        <f t="shared" ref="O192:Q192" si="866">AA192+AD192+AG192+AJ192+AM192+AP192+AS192+AV192+AY192+BB192+BE192+BH192</f>
        <v>0</v>
      </c>
      <c r="P192" s="77">
        <f t="shared" si="866"/>
        <v>0</v>
      </c>
      <c r="Q192" s="77">
        <f t="shared" si="866"/>
        <v>0</v>
      </c>
      <c r="R192" s="77">
        <f t="shared" ref="R192:T192" si="867">IF(BK192=0,SUM(AA192+AD192+AG192+AJ192+AM192+AP192+AS192+AV192+AY192+BB192+BE192+BH192),BK192)</f>
        <v>0</v>
      </c>
      <c r="S192" s="77">
        <f t="shared" si="867"/>
        <v>0</v>
      </c>
      <c r="T192" s="77">
        <f t="shared" si="867"/>
        <v>0</v>
      </c>
      <c r="U192" s="79">
        <f t="shared" si="858"/>
        <v>0</v>
      </c>
      <c r="V192" s="79">
        <f>L192-M192-S192</f>
        <v>0</v>
      </c>
      <c r="W192" s="79">
        <f t="shared" si="859"/>
        <v>0</v>
      </c>
      <c r="X192" s="80">
        <f t="shared" ref="X192:Y192" si="868">IF(O192&gt;0,O192/K192,0)</f>
        <v>0</v>
      </c>
      <c r="Y192" s="80">
        <f t="shared" si="868"/>
        <v>0</v>
      </c>
      <c r="Z192" s="80">
        <f t="shared" si="720"/>
        <v>0</v>
      </c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246"/>
      <c r="BI192" s="83"/>
      <c r="BJ192" s="83"/>
      <c r="BK192" s="241">
        <v>0</v>
      </c>
      <c r="BL192" s="241">
        <v>0</v>
      </c>
      <c r="BM192" s="241">
        <v>0</v>
      </c>
      <c r="BN192" s="81">
        <f>IF(O192-BK192&gt;0,O192-BK192,0)</f>
        <v>0</v>
      </c>
      <c r="BO192" s="75">
        <f>IF(Q192-BM192&gt;0,Q192-BM192,0)</f>
        <v>0</v>
      </c>
      <c r="BP192" s="81">
        <f>IF(BN192+BO192&gt;0,BN192+BO192,0)</f>
        <v>0</v>
      </c>
      <c r="BQ192" s="81">
        <f>IF(U192=0,0,U192)</f>
        <v>0</v>
      </c>
      <c r="BR192" s="81">
        <f>IF(W192=0,0,W192)</f>
        <v>0</v>
      </c>
      <c r="BS192" s="81">
        <f>IF(BQ192+BR192&gt;0,BQ192+BR192,0)</f>
        <v>0</v>
      </c>
      <c r="BT192" s="81">
        <f>IF(V192&gt;0,V192,0)</f>
        <v>0</v>
      </c>
      <c r="BU192" s="81">
        <f>IF(BP192=0,0,BP192)</f>
        <v>0</v>
      </c>
      <c r="BV192" s="81">
        <f>IF(BS192=0,0,BS192)</f>
        <v>0</v>
      </c>
      <c r="BW192" s="81">
        <f>IF(BP192+BT192+BV192&gt;0,BP192+BT192+BV192,0)</f>
        <v>0</v>
      </c>
      <c r="BX192" s="1"/>
      <c r="BY192" s="1"/>
      <c r="BZ192" s="1"/>
      <c r="CA192" s="1"/>
      <c r="CB192" s="1"/>
      <c r="CC192" s="1"/>
      <c r="CD192" s="1"/>
      <c r="CE192" s="1"/>
      <c r="CF192" s="1"/>
      <c r="CG192" s="1"/>
    </row>
    <row r="193" spans="1:85" ht="15.75" customHeight="1">
      <c r="A193" s="256"/>
      <c r="B193" s="257"/>
      <c r="C193" s="111"/>
      <c r="D193" s="258" t="s">
        <v>450</v>
      </c>
      <c r="E193" s="58">
        <f t="shared" ref="E193:H193" si="869">E194</f>
        <v>46288.65</v>
      </c>
      <c r="F193" s="59">
        <f t="shared" si="869"/>
        <v>35248.78</v>
      </c>
      <c r="G193" s="59">
        <f t="shared" si="869"/>
        <v>11039.870000000003</v>
      </c>
      <c r="H193" s="59">
        <f t="shared" si="869"/>
        <v>0</v>
      </c>
      <c r="I193" s="60">
        <f t="shared" si="723"/>
        <v>0</v>
      </c>
      <c r="J193" s="60">
        <f t="shared" si="724"/>
        <v>0</v>
      </c>
      <c r="K193" s="59">
        <f t="shared" ref="K193:N193" si="870">K194</f>
        <v>0</v>
      </c>
      <c r="L193" s="59">
        <f t="shared" si="870"/>
        <v>0</v>
      </c>
      <c r="M193" s="59">
        <f t="shared" si="870"/>
        <v>0</v>
      </c>
      <c r="N193" s="59">
        <f t="shared" si="870"/>
        <v>0</v>
      </c>
      <c r="O193" s="64">
        <f t="shared" ref="O193:Q193" si="871">AA193+AD193+AG193+AJ193+AM193+AP193+AS193+AV193+AY193+BB193+BE193+BH193</f>
        <v>0</v>
      </c>
      <c r="P193" s="64">
        <f t="shared" si="871"/>
        <v>0</v>
      </c>
      <c r="Q193" s="64">
        <f t="shared" si="871"/>
        <v>0</v>
      </c>
      <c r="R193" s="64">
        <f t="shared" ref="R193:T193" si="872">IF(BK193=0,SUM(AA193+AD193+AG193+AJ193+AM193+AP193+AS193+AV193+AY193+BB193+BE193+BH193),BK193)</f>
        <v>0</v>
      </c>
      <c r="S193" s="64">
        <f t="shared" si="872"/>
        <v>0</v>
      </c>
      <c r="T193" s="64">
        <f t="shared" si="872"/>
        <v>0</v>
      </c>
      <c r="U193" s="259">
        <f t="shared" si="858"/>
        <v>0</v>
      </c>
      <c r="V193" s="259">
        <f>L193-P193-M193</f>
        <v>0</v>
      </c>
      <c r="W193" s="259">
        <f t="shared" si="859"/>
        <v>0</v>
      </c>
      <c r="X193" s="63">
        <f t="shared" ref="X193:Y193" si="873">IF(O193&gt;0,O193/K193,0)</f>
        <v>0</v>
      </c>
      <c r="Y193" s="63">
        <f t="shared" si="873"/>
        <v>0</v>
      </c>
      <c r="Z193" s="63">
        <f t="shared" si="720"/>
        <v>0</v>
      </c>
      <c r="AA193" s="260"/>
      <c r="AB193" s="260"/>
      <c r="AC193" s="260"/>
      <c r="AD193" s="260"/>
      <c r="AE193" s="260"/>
      <c r="AF193" s="260"/>
      <c r="AG193" s="260"/>
      <c r="AH193" s="260"/>
      <c r="AI193" s="260"/>
      <c r="AJ193" s="260"/>
      <c r="AK193" s="260"/>
      <c r="AL193" s="260"/>
      <c r="AM193" s="260"/>
      <c r="AN193" s="260"/>
      <c r="AO193" s="260"/>
      <c r="AP193" s="260"/>
      <c r="AQ193" s="260"/>
      <c r="AR193" s="260"/>
      <c r="AS193" s="260"/>
      <c r="AT193" s="260"/>
      <c r="AU193" s="260"/>
      <c r="AV193" s="260"/>
      <c r="AW193" s="260"/>
      <c r="AX193" s="260"/>
      <c r="AY193" s="260"/>
      <c r="AZ193" s="260"/>
      <c r="BA193" s="260"/>
      <c r="BB193" s="260"/>
      <c r="BC193" s="260"/>
      <c r="BD193" s="260"/>
      <c r="BE193" s="260"/>
      <c r="BF193" s="260"/>
      <c r="BG193" s="260"/>
      <c r="BH193" s="260"/>
      <c r="BI193" s="260"/>
      <c r="BJ193" s="260"/>
      <c r="BK193" s="59">
        <f t="shared" si="855"/>
        <v>0</v>
      </c>
      <c r="BL193" s="59">
        <f t="shared" si="855"/>
        <v>0</v>
      </c>
      <c r="BM193" s="59">
        <f t="shared" si="855"/>
        <v>0</v>
      </c>
      <c r="BN193" s="59">
        <f t="shared" si="855"/>
        <v>0</v>
      </c>
      <c r="BO193" s="59">
        <f t="shared" si="855"/>
        <v>0</v>
      </c>
      <c r="BP193" s="59">
        <f t="shared" si="855"/>
        <v>0</v>
      </c>
      <c r="BQ193" s="59">
        <f t="shared" si="855"/>
        <v>0</v>
      </c>
      <c r="BR193" s="59">
        <f t="shared" si="855"/>
        <v>0</v>
      </c>
      <c r="BS193" s="59">
        <f t="shared" si="855"/>
        <v>0</v>
      </c>
      <c r="BT193" s="59">
        <f t="shared" si="855"/>
        <v>0</v>
      </c>
      <c r="BU193" s="59">
        <f t="shared" si="855"/>
        <v>0</v>
      </c>
      <c r="BV193" s="59">
        <f t="shared" si="855"/>
        <v>0</v>
      </c>
      <c r="BW193" s="59">
        <f t="shared" si="855"/>
        <v>0</v>
      </c>
      <c r="BX193" s="261"/>
      <c r="BY193" s="261"/>
      <c r="BZ193" s="261"/>
      <c r="CA193" s="261"/>
      <c r="CB193" s="261"/>
      <c r="CC193" s="261"/>
      <c r="CD193" s="261"/>
      <c r="CE193" s="261"/>
      <c r="CF193" s="261"/>
      <c r="CG193" s="261"/>
    </row>
    <row r="194" spans="1:85" ht="15.75" customHeight="1">
      <c r="A194" s="262"/>
      <c r="B194" s="263"/>
      <c r="C194" s="264" t="s">
        <v>448</v>
      </c>
      <c r="D194" s="255" t="s">
        <v>449</v>
      </c>
      <c r="E194" s="70">
        <v>46288.65</v>
      </c>
      <c r="F194" s="131">
        <v>35248.78</v>
      </c>
      <c r="G194" s="71">
        <f>E194-F194</f>
        <v>11039.870000000003</v>
      </c>
      <c r="H194" s="70"/>
      <c r="I194" s="72">
        <f t="shared" si="723"/>
        <v>0</v>
      </c>
      <c r="J194" s="72">
        <f t="shared" si="724"/>
        <v>0</v>
      </c>
      <c r="K194" s="266"/>
      <c r="L194" s="267"/>
      <c r="M194" s="83"/>
      <c r="N194" s="266"/>
      <c r="O194" s="77">
        <f t="shared" ref="O194:Q194" si="874">AA194+AD194+AG194+AJ194+AM194+AP194+AS194+AV194+AY194+BB194+BE194+BH194</f>
        <v>0</v>
      </c>
      <c r="P194" s="77">
        <f t="shared" si="874"/>
        <v>0</v>
      </c>
      <c r="Q194" s="77">
        <f t="shared" si="874"/>
        <v>0</v>
      </c>
      <c r="R194" s="77">
        <f t="shared" ref="R194:T194" si="875">IF(BK194=0,SUM(AA194+AD194+AG194+AJ194+AM194+AP194+AS194+AV194+AY194+BB194+BE194+BH194),BK194)</f>
        <v>0</v>
      </c>
      <c r="S194" s="77">
        <f t="shared" si="875"/>
        <v>0</v>
      </c>
      <c r="T194" s="77">
        <f t="shared" si="875"/>
        <v>0</v>
      </c>
      <c r="U194" s="79">
        <f t="shared" si="858"/>
        <v>0</v>
      </c>
      <c r="V194" s="79">
        <f>L194-M194-S194</f>
        <v>0</v>
      </c>
      <c r="W194" s="79">
        <f t="shared" si="859"/>
        <v>0</v>
      </c>
      <c r="X194" s="80">
        <f t="shared" ref="X194:Y194" si="876">IF(O194&gt;0,O194/K194,0)</f>
        <v>0</v>
      </c>
      <c r="Y194" s="80">
        <f t="shared" si="876"/>
        <v>0</v>
      </c>
      <c r="Z194" s="80">
        <f t="shared" si="720"/>
        <v>0</v>
      </c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246"/>
      <c r="BI194" s="83"/>
      <c r="BJ194" s="83"/>
      <c r="BK194" s="241">
        <v>0</v>
      </c>
      <c r="BL194" s="241">
        <v>0</v>
      </c>
      <c r="BM194" s="241">
        <v>0</v>
      </c>
      <c r="BN194" s="81">
        <f>IF(O194-BK194&gt;0,O194-BK194,0)</f>
        <v>0</v>
      </c>
      <c r="BO194" s="75">
        <f>IF(Q194-BM194&gt;0,Q194-BM194,0)</f>
        <v>0</v>
      </c>
      <c r="BP194" s="81">
        <f>IF(BN194+BO194&gt;0,BN194+BO194,0)</f>
        <v>0</v>
      </c>
      <c r="BQ194" s="81">
        <f>IF(U194=0,0,U194)</f>
        <v>0</v>
      </c>
      <c r="BR194" s="81">
        <f>IF(W194=0,0,W194)</f>
        <v>0</v>
      </c>
      <c r="BS194" s="81">
        <f>IF(BQ194+BR194&gt;0,BQ194+BR194,0)</f>
        <v>0</v>
      </c>
      <c r="BT194" s="81">
        <f>IF(V194&gt;0,V194,0)</f>
        <v>0</v>
      </c>
      <c r="BU194" s="81">
        <f>IF(BP194=0,0,BP194)</f>
        <v>0</v>
      </c>
      <c r="BV194" s="81">
        <f>IF(BS194=0,0,BS194)</f>
        <v>0</v>
      </c>
      <c r="BW194" s="81">
        <f>IF(BP194+BT194+BV194&gt;0,BP194+BT194+BV194,0)</f>
        <v>0</v>
      </c>
      <c r="BX194" s="1"/>
      <c r="BY194" s="1"/>
      <c r="BZ194" s="1"/>
      <c r="CA194" s="1"/>
      <c r="CB194" s="1"/>
      <c r="CC194" s="1"/>
      <c r="CD194" s="1"/>
      <c r="CE194" s="1"/>
      <c r="CF194" s="1"/>
      <c r="CG194" s="1"/>
    </row>
    <row r="195" spans="1:85" ht="15.75" customHeight="1">
      <c r="A195" s="268"/>
      <c r="B195" s="248"/>
      <c r="C195" s="249"/>
      <c r="D195" s="269" t="s">
        <v>451</v>
      </c>
      <c r="E195" s="104">
        <f t="shared" ref="E195:H195" si="877">E196+E198+E200+E202</f>
        <v>46288.65</v>
      </c>
      <c r="F195" s="251">
        <f t="shared" si="877"/>
        <v>46288.65</v>
      </c>
      <c r="G195" s="251">
        <f t="shared" si="877"/>
        <v>0</v>
      </c>
      <c r="H195" s="251">
        <f t="shared" si="877"/>
        <v>0</v>
      </c>
      <c r="I195" s="105">
        <f t="shared" si="723"/>
        <v>0</v>
      </c>
      <c r="J195" s="105">
        <f t="shared" si="724"/>
        <v>0</v>
      </c>
      <c r="K195" s="251">
        <f t="shared" ref="K195:W195" si="878">K196+K198+K200+K202</f>
        <v>0</v>
      </c>
      <c r="L195" s="251">
        <f t="shared" si="878"/>
        <v>0</v>
      </c>
      <c r="M195" s="251">
        <f t="shared" si="878"/>
        <v>0</v>
      </c>
      <c r="N195" s="251">
        <f t="shared" si="878"/>
        <v>0</v>
      </c>
      <c r="O195" s="251">
        <f t="shared" si="878"/>
        <v>0</v>
      </c>
      <c r="P195" s="251">
        <f t="shared" si="878"/>
        <v>0</v>
      </c>
      <c r="Q195" s="251">
        <f t="shared" si="878"/>
        <v>0</v>
      </c>
      <c r="R195" s="251">
        <f t="shared" si="878"/>
        <v>0</v>
      </c>
      <c r="S195" s="251">
        <f t="shared" si="878"/>
        <v>0</v>
      </c>
      <c r="T195" s="251">
        <f t="shared" si="878"/>
        <v>0</v>
      </c>
      <c r="U195" s="251">
        <f t="shared" si="878"/>
        <v>0</v>
      </c>
      <c r="V195" s="251">
        <f t="shared" si="878"/>
        <v>0</v>
      </c>
      <c r="W195" s="251">
        <f t="shared" si="878"/>
        <v>0</v>
      </c>
      <c r="X195" s="106">
        <f t="shared" ref="X195:Y195" si="879">IF(O195&gt;0,O195/K195,0)</f>
        <v>0</v>
      </c>
      <c r="Y195" s="106">
        <f t="shared" si="879"/>
        <v>0</v>
      </c>
      <c r="Z195" s="106">
        <f t="shared" si="720"/>
        <v>0</v>
      </c>
      <c r="AA195" s="251">
        <f t="shared" ref="AA195:BW195" si="880">AA196+AA198+AA200+AA202</f>
        <v>0</v>
      </c>
      <c r="AB195" s="251">
        <f t="shared" si="880"/>
        <v>0</v>
      </c>
      <c r="AC195" s="251">
        <f t="shared" si="880"/>
        <v>0</v>
      </c>
      <c r="AD195" s="251">
        <f t="shared" si="880"/>
        <v>0</v>
      </c>
      <c r="AE195" s="251">
        <f t="shared" si="880"/>
        <v>0</v>
      </c>
      <c r="AF195" s="251">
        <f t="shared" si="880"/>
        <v>0</v>
      </c>
      <c r="AG195" s="251">
        <f t="shared" si="880"/>
        <v>0</v>
      </c>
      <c r="AH195" s="251">
        <f t="shared" si="880"/>
        <v>0</v>
      </c>
      <c r="AI195" s="251">
        <f t="shared" si="880"/>
        <v>0</v>
      </c>
      <c r="AJ195" s="251">
        <f t="shared" si="880"/>
        <v>0</v>
      </c>
      <c r="AK195" s="251">
        <f t="shared" si="880"/>
        <v>0</v>
      </c>
      <c r="AL195" s="251">
        <f t="shared" si="880"/>
        <v>0</v>
      </c>
      <c r="AM195" s="251">
        <f t="shared" si="880"/>
        <v>0</v>
      </c>
      <c r="AN195" s="251">
        <f t="shared" si="880"/>
        <v>0</v>
      </c>
      <c r="AO195" s="251">
        <f t="shared" si="880"/>
        <v>0</v>
      </c>
      <c r="AP195" s="251">
        <f t="shared" si="880"/>
        <v>0</v>
      </c>
      <c r="AQ195" s="251">
        <f t="shared" si="880"/>
        <v>0</v>
      </c>
      <c r="AR195" s="251">
        <f t="shared" si="880"/>
        <v>0</v>
      </c>
      <c r="AS195" s="251">
        <f t="shared" si="880"/>
        <v>0</v>
      </c>
      <c r="AT195" s="251">
        <f t="shared" si="880"/>
        <v>0</v>
      </c>
      <c r="AU195" s="251">
        <f t="shared" si="880"/>
        <v>0</v>
      </c>
      <c r="AV195" s="251">
        <f t="shared" si="880"/>
        <v>0</v>
      </c>
      <c r="AW195" s="251">
        <f t="shared" si="880"/>
        <v>0</v>
      </c>
      <c r="AX195" s="251">
        <f t="shared" si="880"/>
        <v>0</v>
      </c>
      <c r="AY195" s="251">
        <f t="shared" si="880"/>
        <v>0</v>
      </c>
      <c r="AZ195" s="251">
        <f t="shared" si="880"/>
        <v>0</v>
      </c>
      <c r="BA195" s="251">
        <f t="shared" si="880"/>
        <v>0</v>
      </c>
      <c r="BB195" s="251">
        <f t="shared" si="880"/>
        <v>0</v>
      </c>
      <c r="BC195" s="251">
        <f t="shared" si="880"/>
        <v>0</v>
      </c>
      <c r="BD195" s="251">
        <f t="shared" si="880"/>
        <v>0</v>
      </c>
      <c r="BE195" s="251">
        <f t="shared" si="880"/>
        <v>0</v>
      </c>
      <c r="BF195" s="251">
        <f t="shared" si="880"/>
        <v>0</v>
      </c>
      <c r="BG195" s="251">
        <f t="shared" si="880"/>
        <v>0</v>
      </c>
      <c r="BH195" s="251">
        <f t="shared" si="880"/>
        <v>0</v>
      </c>
      <c r="BI195" s="251">
        <f t="shared" si="880"/>
        <v>0</v>
      </c>
      <c r="BJ195" s="251">
        <f t="shared" si="880"/>
        <v>0</v>
      </c>
      <c r="BK195" s="251">
        <f t="shared" si="880"/>
        <v>0</v>
      </c>
      <c r="BL195" s="251">
        <f t="shared" si="880"/>
        <v>0</v>
      </c>
      <c r="BM195" s="251">
        <f t="shared" si="880"/>
        <v>0</v>
      </c>
      <c r="BN195" s="251">
        <f t="shared" si="880"/>
        <v>0</v>
      </c>
      <c r="BO195" s="251">
        <f t="shared" si="880"/>
        <v>0</v>
      </c>
      <c r="BP195" s="251">
        <f t="shared" si="880"/>
        <v>0</v>
      </c>
      <c r="BQ195" s="251">
        <f t="shared" si="880"/>
        <v>0</v>
      </c>
      <c r="BR195" s="251">
        <f t="shared" si="880"/>
        <v>0</v>
      </c>
      <c r="BS195" s="251">
        <f t="shared" si="880"/>
        <v>0</v>
      </c>
      <c r="BT195" s="251">
        <f t="shared" si="880"/>
        <v>0</v>
      </c>
      <c r="BU195" s="251">
        <f t="shared" si="880"/>
        <v>0</v>
      </c>
      <c r="BV195" s="251">
        <f t="shared" si="880"/>
        <v>0</v>
      </c>
      <c r="BW195" s="251">
        <f t="shared" si="880"/>
        <v>0</v>
      </c>
      <c r="BX195" s="1"/>
      <c r="BY195" s="1"/>
      <c r="BZ195" s="1"/>
      <c r="CA195" s="1"/>
      <c r="CB195" s="1"/>
      <c r="CC195" s="1"/>
      <c r="CD195" s="1"/>
      <c r="CE195" s="1"/>
      <c r="CF195" s="1"/>
      <c r="CG195" s="1"/>
    </row>
    <row r="196" spans="1:85" ht="15.75">
      <c r="A196" s="270"/>
      <c r="B196" s="271"/>
      <c r="C196" s="272"/>
      <c r="D196" s="112" t="s">
        <v>116</v>
      </c>
      <c r="E196" s="58">
        <f t="shared" ref="E196:H196" si="881">E197</f>
        <v>3000</v>
      </c>
      <c r="F196" s="59">
        <f t="shared" si="881"/>
        <v>3000</v>
      </c>
      <c r="G196" s="59">
        <f t="shared" si="881"/>
        <v>0</v>
      </c>
      <c r="H196" s="59">
        <f t="shared" si="881"/>
        <v>0</v>
      </c>
      <c r="I196" s="60">
        <f t="shared" si="723"/>
        <v>0</v>
      </c>
      <c r="J196" s="60">
        <f t="shared" si="724"/>
        <v>0</v>
      </c>
      <c r="K196" s="59">
        <f t="shared" ref="K196:N196" si="882">K197</f>
        <v>0</v>
      </c>
      <c r="L196" s="59">
        <f t="shared" si="882"/>
        <v>0</v>
      </c>
      <c r="M196" s="59">
        <f t="shared" si="882"/>
        <v>0</v>
      </c>
      <c r="N196" s="59">
        <f t="shared" si="882"/>
        <v>0</v>
      </c>
      <c r="O196" s="64">
        <f t="shared" ref="O196:Q196" si="883">AA196+AD196+AG196+AJ196+AM196+AP196+AS196+AV196+AY196+BB196+BE196+BH196</f>
        <v>0</v>
      </c>
      <c r="P196" s="64">
        <f t="shared" si="883"/>
        <v>0</v>
      </c>
      <c r="Q196" s="64">
        <f t="shared" si="883"/>
        <v>0</v>
      </c>
      <c r="R196" s="64">
        <f t="shared" ref="R196:T196" si="884">IF(BK196=0,SUM(AA196+AD196+AG196+AJ196+AM196+AP196+AS196+AV196+AY196+BB196+BE196+BH196),BK196)</f>
        <v>0</v>
      </c>
      <c r="S196" s="64">
        <f t="shared" si="884"/>
        <v>0</v>
      </c>
      <c r="T196" s="64">
        <f t="shared" si="884"/>
        <v>0</v>
      </c>
      <c r="U196" s="259">
        <f t="shared" ref="U196:U203" si="885">K196-O196</f>
        <v>0</v>
      </c>
      <c r="V196" s="259">
        <f>L196-P196-M196</f>
        <v>0</v>
      </c>
      <c r="W196" s="259">
        <f t="shared" ref="W196:W203" si="886">N196-Q196</f>
        <v>0</v>
      </c>
      <c r="X196" s="63">
        <f t="shared" ref="X196:Y196" si="887">IF(O196&gt;0,O196/K196,0)</f>
        <v>0</v>
      </c>
      <c r="Y196" s="63">
        <f t="shared" si="887"/>
        <v>0</v>
      </c>
      <c r="Z196" s="63">
        <f t="shared" si="720"/>
        <v>0</v>
      </c>
      <c r="AA196" s="260"/>
      <c r="AB196" s="260"/>
      <c r="AC196" s="260"/>
      <c r="AD196" s="260"/>
      <c r="AE196" s="260"/>
      <c r="AF196" s="260"/>
      <c r="AG196" s="260"/>
      <c r="AH196" s="260"/>
      <c r="AI196" s="260"/>
      <c r="AJ196" s="260"/>
      <c r="AK196" s="260"/>
      <c r="AL196" s="260"/>
      <c r="AM196" s="260"/>
      <c r="AN196" s="260"/>
      <c r="AO196" s="260"/>
      <c r="AP196" s="260"/>
      <c r="AQ196" s="260"/>
      <c r="AR196" s="260"/>
      <c r="AS196" s="260"/>
      <c r="AT196" s="260"/>
      <c r="AU196" s="260"/>
      <c r="AV196" s="260"/>
      <c r="AW196" s="260"/>
      <c r="AX196" s="260"/>
      <c r="AY196" s="260"/>
      <c r="AZ196" s="260"/>
      <c r="BA196" s="260"/>
      <c r="BB196" s="260"/>
      <c r="BC196" s="260"/>
      <c r="BD196" s="260"/>
      <c r="BE196" s="260"/>
      <c r="BF196" s="260"/>
      <c r="BG196" s="260"/>
      <c r="BH196" s="260"/>
      <c r="BI196" s="260"/>
      <c r="BJ196" s="260"/>
      <c r="BK196" s="59">
        <f t="shared" ref="BK196:BW196" si="888">SUM(BK197)</f>
        <v>0</v>
      </c>
      <c r="BL196" s="59">
        <f t="shared" si="888"/>
        <v>0</v>
      </c>
      <c r="BM196" s="59">
        <f t="shared" si="888"/>
        <v>0</v>
      </c>
      <c r="BN196" s="59">
        <f t="shared" si="888"/>
        <v>0</v>
      </c>
      <c r="BO196" s="59">
        <f t="shared" si="888"/>
        <v>0</v>
      </c>
      <c r="BP196" s="59">
        <f t="shared" si="888"/>
        <v>0</v>
      </c>
      <c r="BQ196" s="59">
        <f t="shared" si="888"/>
        <v>0</v>
      </c>
      <c r="BR196" s="59">
        <f t="shared" si="888"/>
        <v>0</v>
      </c>
      <c r="BS196" s="59">
        <f t="shared" si="888"/>
        <v>0</v>
      </c>
      <c r="BT196" s="59">
        <f t="shared" si="888"/>
        <v>0</v>
      </c>
      <c r="BU196" s="59">
        <f t="shared" si="888"/>
        <v>0</v>
      </c>
      <c r="BV196" s="59">
        <f t="shared" si="888"/>
        <v>0</v>
      </c>
      <c r="BW196" s="59">
        <f t="shared" si="888"/>
        <v>0</v>
      </c>
      <c r="BX196" s="1"/>
      <c r="BY196" s="1"/>
      <c r="BZ196" s="1"/>
      <c r="CA196" s="1"/>
      <c r="CB196" s="1"/>
      <c r="CC196" s="1"/>
      <c r="CD196" s="1"/>
      <c r="CE196" s="1"/>
      <c r="CF196" s="1"/>
      <c r="CG196" s="1"/>
    </row>
    <row r="197" spans="1:85" ht="15.75" customHeight="1">
      <c r="A197" s="253"/>
      <c r="B197" s="254"/>
      <c r="C197" s="185" t="s">
        <v>118</v>
      </c>
      <c r="D197" s="255" t="s">
        <v>119</v>
      </c>
      <c r="E197" s="70">
        <v>3000</v>
      </c>
      <c r="F197" s="131">
        <v>3000</v>
      </c>
      <c r="G197" s="71">
        <f>E197-F197</f>
        <v>0</v>
      </c>
      <c r="H197" s="70"/>
      <c r="I197" s="72">
        <f t="shared" si="723"/>
        <v>0</v>
      </c>
      <c r="J197" s="72">
        <f t="shared" si="724"/>
        <v>0</v>
      </c>
      <c r="K197" s="76"/>
      <c r="L197" s="81"/>
      <c r="M197" s="75"/>
      <c r="N197" s="76"/>
      <c r="O197" s="77">
        <f t="shared" ref="O197:Q197" si="889">AA197+AD197+AG197+AJ197+AM197+AP197+AS197+AV197+AY197+BB197+BE197+BH197</f>
        <v>0</v>
      </c>
      <c r="P197" s="77">
        <f t="shared" si="889"/>
        <v>0</v>
      </c>
      <c r="Q197" s="77">
        <f t="shared" si="889"/>
        <v>0</v>
      </c>
      <c r="R197" s="77">
        <f t="shared" ref="R197:T197" si="890">IF(BK197=0,SUM(AA197+AD197+AG197+AJ197+AM197+AP197+AS197+AV197+AY197+BB197+BE197+BH197),BK197)</f>
        <v>0</v>
      </c>
      <c r="S197" s="77">
        <f t="shared" si="890"/>
        <v>0</v>
      </c>
      <c r="T197" s="77">
        <f t="shared" si="890"/>
        <v>0</v>
      </c>
      <c r="U197" s="79">
        <f t="shared" si="885"/>
        <v>0</v>
      </c>
      <c r="V197" s="79">
        <f>L197-M197-S197</f>
        <v>0</v>
      </c>
      <c r="W197" s="79">
        <f t="shared" si="886"/>
        <v>0</v>
      </c>
      <c r="X197" s="80">
        <f t="shared" ref="X197:Y197" si="891">IF(O197&gt;0,O197/K197,0)</f>
        <v>0</v>
      </c>
      <c r="Y197" s="80">
        <f t="shared" si="891"/>
        <v>0</v>
      </c>
      <c r="Z197" s="80">
        <f t="shared" si="720"/>
        <v>0</v>
      </c>
      <c r="AA197" s="81"/>
      <c r="AB197" s="81"/>
      <c r="AC197" s="81"/>
      <c r="AD197" s="81"/>
      <c r="AE197" s="83"/>
      <c r="AF197" s="83"/>
      <c r="AG197" s="83"/>
      <c r="AH197" s="83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1"/>
      <c r="BE197" s="81"/>
      <c r="BF197" s="81"/>
      <c r="BG197" s="81"/>
      <c r="BH197" s="81"/>
      <c r="BI197" s="81"/>
      <c r="BJ197" s="81"/>
      <c r="BK197" s="241">
        <v>0</v>
      </c>
      <c r="BL197" s="241">
        <v>0</v>
      </c>
      <c r="BM197" s="241">
        <v>0</v>
      </c>
      <c r="BN197" s="81">
        <f>IF(O197-BK197&gt;0,O197-BK197,0)</f>
        <v>0</v>
      </c>
      <c r="BO197" s="75">
        <f>IF(Q197-BM197&gt;0,Q197-BM197,0)</f>
        <v>0</v>
      </c>
      <c r="BP197" s="81">
        <f>IF(BN197+BO197&gt;0,BN197+BO197,0)</f>
        <v>0</v>
      </c>
      <c r="BQ197" s="81">
        <f>IF(U197=0,0,U197)</f>
        <v>0</v>
      </c>
      <c r="BR197" s="81">
        <f>IF(W197=0,0,W197)</f>
        <v>0</v>
      </c>
      <c r="BS197" s="81">
        <f>IF(BQ197+BR197&gt;0,BQ197+BR197,0)</f>
        <v>0</v>
      </c>
      <c r="BT197" s="81">
        <f>IF(V197&gt;0,V197,0)</f>
        <v>0</v>
      </c>
      <c r="BU197" s="81">
        <f>IF(BP197=0,0,BP197)</f>
        <v>0</v>
      </c>
      <c r="BV197" s="81">
        <f>IF(BS197=0,0,BS197)</f>
        <v>0</v>
      </c>
      <c r="BW197" s="81">
        <f>IF(BP197+BT197+BV197&gt;0,BP197+BT197+BV197,0)</f>
        <v>0</v>
      </c>
      <c r="BX197" s="1"/>
      <c r="BY197" s="1"/>
      <c r="BZ197" s="1"/>
      <c r="CA197" s="1"/>
      <c r="CB197" s="1"/>
      <c r="CC197" s="1"/>
      <c r="CD197" s="1"/>
      <c r="CE197" s="1"/>
      <c r="CF197" s="1"/>
      <c r="CG197" s="1"/>
    </row>
    <row r="198" spans="1:85" ht="15.75">
      <c r="A198" s="270"/>
      <c r="B198" s="271"/>
      <c r="C198" s="272"/>
      <c r="D198" s="112" t="s">
        <v>128</v>
      </c>
      <c r="E198" s="58">
        <f t="shared" ref="E198:H198" si="892">E199</f>
        <v>7000</v>
      </c>
      <c r="F198" s="59">
        <f t="shared" si="892"/>
        <v>7000</v>
      </c>
      <c r="G198" s="59">
        <f t="shared" si="892"/>
        <v>0</v>
      </c>
      <c r="H198" s="59">
        <f t="shared" si="892"/>
        <v>0</v>
      </c>
      <c r="I198" s="60">
        <f t="shared" si="723"/>
        <v>0</v>
      </c>
      <c r="J198" s="60">
        <f t="shared" si="724"/>
        <v>0</v>
      </c>
      <c r="K198" s="59">
        <f t="shared" ref="K198:N198" si="893">K199</f>
        <v>0</v>
      </c>
      <c r="L198" s="59">
        <f t="shared" si="893"/>
        <v>0</v>
      </c>
      <c r="M198" s="59">
        <f t="shared" si="893"/>
        <v>0</v>
      </c>
      <c r="N198" s="59">
        <f t="shared" si="893"/>
        <v>0</v>
      </c>
      <c r="O198" s="64">
        <f t="shared" ref="O198:Q198" si="894">AA198+AD198+AG198+AJ198+AM198+AP198+AS198+AV198+AY198+BB198+BE198+BH198</f>
        <v>0</v>
      </c>
      <c r="P198" s="64">
        <f t="shared" si="894"/>
        <v>0</v>
      </c>
      <c r="Q198" s="64">
        <f t="shared" si="894"/>
        <v>0</v>
      </c>
      <c r="R198" s="64">
        <f t="shared" ref="R198:T198" si="895">IF(BK198=0,SUM(AA198+AD198+AG198+AJ198+AM198+AP198+AS198+AV198+AY198+BB198+BE198+BH198),BK198)</f>
        <v>0</v>
      </c>
      <c r="S198" s="64">
        <f t="shared" si="895"/>
        <v>0</v>
      </c>
      <c r="T198" s="64">
        <f t="shared" si="895"/>
        <v>0</v>
      </c>
      <c r="U198" s="259">
        <f t="shared" si="885"/>
        <v>0</v>
      </c>
      <c r="V198" s="259">
        <f>L198-P198-M198</f>
        <v>0</v>
      </c>
      <c r="W198" s="259">
        <f t="shared" si="886"/>
        <v>0</v>
      </c>
      <c r="X198" s="63">
        <f t="shared" ref="X198:Y198" si="896">IF(O198&gt;0,O198/K198,0)</f>
        <v>0</v>
      </c>
      <c r="Y198" s="63">
        <f t="shared" si="896"/>
        <v>0</v>
      </c>
      <c r="Z198" s="63">
        <f t="shared" si="720"/>
        <v>0</v>
      </c>
      <c r="AA198" s="260"/>
      <c r="AB198" s="260"/>
      <c r="AC198" s="260"/>
      <c r="AD198" s="260"/>
      <c r="AE198" s="260"/>
      <c r="AF198" s="260"/>
      <c r="AG198" s="260"/>
      <c r="AH198" s="260"/>
      <c r="AI198" s="260"/>
      <c r="AJ198" s="260"/>
      <c r="AK198" s="260"/>
      <c r="AL198" s="260"/>
      <c r="AM198" s="260"/>
      <c r="AN198" s="260"/>
      <c r="AO198" s="260"/>
      <c r="AP198" s="260"/>
      <c r="AQ198" s="260"/>
      <c r="AR198" s="260"/>
      <c r="AS198" s="260"/>
      <c r="AT198" s="260"/>
      <c r="AU198" s="260"/>
      <c r="AV198" s="260"/>
      <c r="AW198" s="260"/>
      <c r="AX198" s="260"/>
      <c r="AY198" s="260"/>
      <c r="AZ198" s="260"/>
      <c r="BA198" s="260"/>
      <c r="BB198" s="260"/>
      <c r="BC198" s="260"/>
      <c r="BD198" s="260"/>
      <c r="BE198" s="260"/>
      <c r="BF198" s="260"/>
      <c r="BG198" s="260"/>
      <c r="BH198" s="260"/>
      <c r="BI198" s="260"/>
      <c r="BJ198" s="260"/>
      <c r="BK198" s="59">
        <f t="shared" ref="BK198:BW198" si="897">SUM(BK199)</f>
        <v>0</v>
      </c>
      <c r="BL198" s="59">
        <f t="shared" si="897"/>
        <v>0</v>
      </c>
      <c r="BM198" s="59">
        <f t="shared" si="897"/>
        <v>0</v>
      </c>
      <c r="BN198" s="59">
        <f t="shared" si="897"/>
        <v>0</v>
      </c>
      <c r="BO198" s="59">
        <f t="shared" si="897"/>
        <v>0</v>
      </c>
      <c r="BP198" s="59">
        <f t="shared" si="897"/>
        <v>0</v>
      </c>
      <c r="BQ198" s="59">
        <f t="shared" si="897"/>
        <v>0</v>
      </c>
      <c r="BR198" s="59">
        <f t="shared" si="897"/>
        <v>0</v>
      </c>
      <c r="BS198" s="59">
        <f t="shared" si="897"/>
        <v>0</v>
      </c>
      <c r="BT198" s="59">
        <f t="shared" si="897"/>
        <v>0</v>
      </c>
      <c r="BU198" s="59">
        <f t="shared" si="897"/>
        <v>0</v>
      </c>
      <c r="BV198" s="59">
        <f t="shared" si="897"/>
        <v>0</v>
      </c>
      <c r="BW198" s="59">
        <f t="shared" si="897"/>
        <v>0</v>
      </c>
      <c r="BX198" s="1"/>
      <c r="BY198" s="1"/>
      <c r="BZ198" s="1"/>
      <c r="CA198" s="1"/>
      <c r="CB198" s="1"/>
      <c r="CC198" s="1"/>
      <c r="CD198" s="1"/>
      <c r="CE198" s="1"/>
      <c r="CF198" s="1"/>
      <c r="CG198" s="1"/>
    </row>
    <row r="199" spans="1:85" ht="15.75" customHeight="1">
      <c r="A199" s="253"/>
      <c r="B199" s="254"/>
      <c r="C199" s="185" t="s">
        <v>135</v>
      </c>
      <c r="D199" s="255" t="s">
        <v>136</v>
      </c>
      <c r="E199" s="70">
        <v>7000</v>
      </c>
      <c r="F199" s="131">
        <v>7000</v>
      </c>
      <c r="G199" s="71">
        <f>E199-F199</f>
        <v>0</v>
      </c>
      <c r="H199" s="70"/>
      <c r="I199" s="72">
        <f t="shared" si="723"/>
        <v>0</v>
      </c>
      <c r="J199" s="72">
        <f t="shared" si="724"/>
        <v>0</v>
      </c>
      <c r="K199" s="88"/>
      <c r="L199" s="75"/>
      <c r="M199" s="75"/>
      <c r="N199" s="76"/>
      <c r="O199" s="77">
        <f t="shared" ref="O199:Q199" si="898">AA199+AD199+AG199+AJ199+AM199+AP199+AS199+AV199+AY199+BB199+BE199+BH199</f>
        <v>0</v>
      </c>
      <c r="P199" s="77">
        <f t="shared" si="898"/>
        <v>0</v>
      </c>
      <c r="Q199" s="77">
        <f t="shared" si="898"/>
        <v>0</v>
      </c>
      <c r="R199" s="77">
        <f t="shared" ref="R199:T199" si="899">IF(BK199=0,SUM(AA199+AD199+AG199+AJ199+AM199+AP199+AS199+AV199+AY199+BB199+BE199+BH199),BK199)</f>
        <v>0</v>
      </c>
      <c r="S199" s="77">
        <f t="shared" si="899"/>
        <v>0</v>
      </c>
      <c r="T199" s="77">
        <f t="shared" si="899"/>
        <v>0</v>
      </c>
      <c r="U199" s="79">
        <f t="shared" si="885"/>
        <v>0</v>
      </c>
      <c r="V199" s="79">
        <f>L199-M199-S199</f>
        <v>0</v>
      </c>
      <c r="W199" s="79">
        <f t="shared" si="886"/>
        <v>0</v>
      </c>
      <c r="X199" s="80">
        <f t="shared" ref="X199:Y199" si="900">IF(O199&gt;0,O199/K199,0)</f>
        <v>0</v>
      </c>
      <c r="Y199" s="80">
        <f t="shared" si="900"/>
        <v>0</v>
      </c>
      <c r="Z199" s="80">
        <f t="shared" si="720"/>
        <v>0</v>
      </c>
      <c r="AA199" s="75"/>
      <c r="AB199" s="75"/>
      <c r="AC199" s="75"/>
      <c r="AD199" s="75"/>
      <c r="AE199" s="83"/>
      <c r="AF199" s="83"/>
      <c r="AG199" s="83"/>
      <c r="AH199" s="83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241">
        <v>0</v>
      </c>
      <c r="BL199" s="241">
        <v>0</v>
      </c>
      <c r="BM199" s="241">
        <v>0</v>
      </c>
      <c r="BN199" s="81">
        <f>IF(O199-BK199&gt;0,O199-BK199,0)</f>
        <v>0</v>
      </c>
      <c r="BO199" s="75">
        <f>IF(Q199-BM199&gt;0,Q199-BM199,0)</f>
        <v>0</v>
      </c>
      <c r="BP199" s="81">
        <f>IF(BN199+BO199&gt;0,BN199+BO199,0)</f>
        <v>0</v>
      </c>
      <c r="BQ199" s="81">
        <f>IF(U199=0,0,U199)</f>
        <v>0</v>
      </c>
      <c r="BR199" s="81">
        <f>IF(W199=0,0,W199)</f>
        <v>0</v>
      </c>
      <c r="BS199" s="81">
        <f>IF(BQ199+BR199&gt;0,BQ199+BR199,0)</f>
        <v>0</v>
      </c>
      <c r="BT199" s="81">
        <f>IF(V199&gt;0,V199,0)</f>
        <v>0</v>
      </c>
      <c r="BU199" s="81">
        <f>IF(BP199=0,0,BP199)</f>
        <v>0</v>
      </c>
      <c r="BV199" s="81">
        <f>IF(BS199=0,0,BS199)</f>
        <v>0</v>
      </c>
      <c r="BW199" s="81">
        <f>IF(BP199+BT199+BV199&gt;0,BP199+BT199+BV199,0)</f>
        <v>0</v>
      </c>
      <c r="BX199" s="1"/>
      <c r="BY199" s="1"/>
      <c r="BZ199" s="1"/>
      <c r="CA199" s="1"/>
      <c r="CB199" s="1"/>
      <c r="CC199" s="1"/>
      <c r="CD199" s="1"/>
      <c r="CE199" s="1"/>
      <c r="CF199" s="1"/>
      <c r="CG199" s="1"/>
    </row>
    <row r="200" spans="1:85" ht="15.75" customHeight="1">
      <c r="A200" s="270"/>
      <c r="B200" s="271"/>
      <c r="C200" s="272"/>
      <c r="D200" s="112" t="s">
        <v>452</v>
      </c>
      <c r="E200" s="58">
        <f t="shared" ref="E200:H200" si="901">E201</f>
        <v>30000</v>
      </c>
      <c r="F200" s="59">
        <f t="shared" si="901"/>
        <v>30000</v>
      </c>
      <c r="G200" s="59">
        <f t="shared" si="901"/>
        <v>0</v>
      </c>
      <c r="H200" s="59">
        <f t="shared" si="901"/>
        <v>0</v>
      </c>
      <c r="I200" s="60">
        <f t="shared" si="723"/>
        <v>0</v>
      </c>
      <c r="J200" s="60">
        <f t="shared" si="724"/>
        <v>0</v>
      </c>
      <c r="K200" s="59">
        <f t="shared" ref="K200:N200" si="902">K201</f>
        <v>0</v>
      </c>
      <c r="L200" s="59">
        <f t="shared" si="902"/>
        <v>0</v>
      </c>
      <c r="M200" s="59">
        <f t="shared" si="902"/>
        <v>0</v>
      </c>
      <c r="N200" s="59">
        <f t="shared" si="902"/>
        <v>0</v>
      </c>
      <c r="O200" s="64">
        <f t="shared" ref="O200:Q200" si="903">AA200+AD200+AG200+AJ200+AM200+AP200+AS200+AV200+AY200+BB200+BE200+BH200</f>
        <v>0</v>
      </c>
      <c r="P200" s="64">
        <f t="shared" si="903"/>
        <v>0</v>
      </c>
      <c r="Q200" s="64">
        <f t="shared" si="903"/>
        <v>0</v>
      </c>
      <c r="R200" s="64">
        <f t="shared" ref="R200:T200" si="904">IF(BK200=0,SUM(AA200+AD200+AG200+AJ200+AM200+AP200+AS200+AV200+AY200+BB200+BE200+BH200),BK200)</f>
        <v>0</v>
      </c>
      <c r="S200" s="64">
        <f t="shared" si="904"/>
        <v>0</v>
      </c>
      <c r="T200" s="64">
        <f t="shared" si="904"/>
        <v>0</v>
      </c>
      <c r="U200" s="259">
        <f t="shared" si="885"/>
        <v>0</v>
      </c>
      <c r="V200" s="259">
        <f>L200-P200-M200</f>
        <v>0</v>
      </c>
      <c r="W200" s="259">
        <f t="shared" si="886"/>
        <v>0</v>
      </c>
      <c r="X200" s="63">
        <f t="shared" ref="X200:Y200" si="905">IF(O200&gt;0,O200/K200,0)</f>
        <v>0</v>
      </c>
      <c r="Y200" s="63">
        <f t="shared" si="905"/>
        <v>0</v>
      </c>
      <c r="Z200" s="63">
        <f t="shared" si="720"/>
        <v>0</v>
      </c>
      <c r="AA200" s="260"/>
      <c r="AB200" s="260"/>
      <c r="AC200" s="260"/>
      <c r="AD200" s="260"/>
      <c r="AE200" s="260"/>
      <c r="AF200" s="260"/>
      <c r="AG200" s="260"/>
      <c r="AH200" s="260"/>
      <c r="AI200" s="260"/>
      <c r="AJ200" s="260"/>
      <c r="AK200" s="260"/>
      <c r="AL200" s="260"/>
      <c r="AM200" s="260"/>
      <c r="AN200" s="260"/>
      <c r="AO200" s="260"/>
      <c r="AP200" s="260"/>
      <c r="AQ200" s="260"/>
      <c r="AR200" s="260"/>
      <c r="AS200" s="260"/>
      <c r="AT200" s="260"/>
      <c r="AU200" s="260"/>
      <c r="AV200" s="260"/>
      <c r="AW200" s="260"/>
      <c r="AX200" s="260"/>
      <c r="AY200" s="260"/>
      <c r="AZ200" s="260"/>
      <c r="BA200" s="260"/>
      <c r="BB200" s="260"/>
      <c r="BC200" s="260"/>
      <c r="BD200" s="260"/>
      <c r="BE200" s="260"/>
      <c r="BF200" s="260"/>
      <c r="BG200" s="260"/>
      <c r="BH200" s="260"/>
      <c r="BI200" s="260"/>
      <c r="BJ200" s="260"/>
      <c r="BK200" s="59">
        <f t="shared" ref="BK200:BW200" si="906">SUM(BK201)</f>
        <v>0</v>
      </c>
      <c r="BL200" s="59">
        <f t="shared" si="906"/>
        <v>0</v>
      </c>
      <c r="BM200" s="59">
        <f t="shared" si="906"/>
        <v>0</v>
      </c>
      <c r="BN200" s="59">
        <f t="shared" si="906"/>
        <v>0</v>
      </c>
      <c r="BO200" s="59">
        <f t="shared" si="906"/>
        <v>0</v>
      </c>
      <c r="BP200" s="59">
        <f t="shared" si="906"/>
        <v>0</v>
      </c>
      <c r="BQ200" s="59">
        <f t="shared" si="906"/>
        <v>0</v>
      </c>
      <c r="BR200" s="59">
        <f t="shared" si="906"/>
        <v>0</v>
      </c>
      <c r="BS200" s="59">
        <f t="shared" si="906"/>
        <v>0</v>
      </c>
      <c r="BT200" s="59">
        <f t="shared" si="906"/>
        <v>0</v>
      </c>
      <c r="BU200" s="59">
        <f t="shared" si="906"/>
        <v>0</v>
      </c>
      <c r="BV200" s="59">
        <f t="shared" si="906"/>
        <v>0</v>
      </c>
      <c r="BW200" s="59">
        <f t="shared" si="906"/>
        <v>0</v>
      </c>
      <c r="BX200" s="1"/>
      <c r="BY200" s="1"/>
      <c r="BZ200" s="1"/>
      <c r="CA200" s="1"/>
      <c r="CB200" s="1"/>
      <c r="CC200" s="1"/>
      <c r="CD200" s="1"/>
      <c r="CE200" s="1"/>
      <c r="CF200" s="1"/>
      <c r="CG200" s="1"/>
    </row>
    <row r="201" spans="1:85" ht="15.75" customHeight="1">
      <c r="A201" s="253"/>
      <c r="B201" s="254"/>
      <c r="C201" s="185" t="s">
        <v>453</v>
      </c>
      <c r="D201" s="273" t="s">
        <v>454</v>
      </c>
      <c r="E201" s="70">
        <v>30000</v>
      </c>
      <c r="F201" s="131">
        <v>30000</v>
      </c>
      <c r="G201" s="71">
        <f>E201-F201</f>
        <v>0</v>
      </c>
      <c r="H201" s="70"/>
      <c r="I201" s="72">
        <f t="shared" si="723"/>
        <v>0</v>
      </c>
      <c r="J201" s="72">
        <f t="shared" si="724"/>
        <v>0</v>
      </c>
      <c r="K201" s="88"/>
      <c r="L201" s="75"/>
      <c r="M201" s="75"/>
      <c r="N201" s="76"/>
      <c r="O201" s="77">
        <f t="shared" ref="O201:Q201" si="907">AA201+AD201+AG201+AJ201+AM201+AP201+AS201+AV201+AY201+BB201+BE201+BH201</f>
        <v>0</v>
      </c>
      <c r="P201" s="77">
        <f t="shared" si="907"/>
        <v>0</v>
      </c>
      <c r="Q201" s="77">
        <f t="shared" si="907"/>
        <v>0</v>
      </c>
      <c r="R201" s="77">
        <f t="shared" ref="R201:T201" si="908">IF(BK201=0,SUM(AA201+AD201+AG201+AJ201+AM201+AP201+AS201+AV201+AY201+BB201+BE201+BH201),BK201)</f>
        <v>0</v>
      </c>
      <c r="S201" s="77">
        <f t="shared" si="908"/>
        <v>0</v>
      </c>
      <c r="T201" s="77">
        <f t="shared" si="908"/>
        <v>0</v>
      </c>
      <c r="U201" s="79">
        <f t="shared" si="885"/>
        <v>0</v>
      </c>
      <c r="V201" s="79">
        <f>L201-M201-S201</f>
        <v>0</v>
      </c>
      <c r="W201" s="79">
        <f t="shared" si="886"/>
        <v>0</v>
      </c>
      <c r="X201" s="80">
        <f t="shared" ref="X201:Y201" si="909">IF(O201&gt;0,O201/K201,0)</f>
        <v>0</v>
      </c>
      <c r="Y201" s="80">
        <f t="shared" si="909"/>
        <v>0</v>
      </c>
      <c r="Z201" s="80">
        <f t="shared" si="720"/>
        <v>0</v>
      </c>
      <c r="AA201" s="75"/>
      <c r="AB201" s="75"/>
      <c r="AC201" s="75"/>
      <c r="AD201" s="75"/>
      <c r="AE201" s="83"/>
      <c r="AF201" s="83"/>
      <c r="AG201" s="83"/>
      <c r="AH201" s="83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241">
        <v>0</v>
      </c>
      <c r="BL201" s="241">
        <v>0</v>
      </c>
      <c r="BM201" s="241">
        <v>0</v>
      </c>
      <c r="BN201" s="81">
        <f>IF(O201-BK201&gt;0,O201-BK201,0)</f>
        <v>0</v>
      </c>
      <c r="BO201" s="75">
        <f>IF(Q201-BM201&gt;0,Q201-BM201,0)</f>
        <v>0</v>
      </c>
      <c r="BP201" s="81">
        <f>IF(BN201+BO201&gt;0,BN201+BO201,0)</f>
        <v>0</v>
      </c>
      <c r="BQ201" s="81">
        <f>IF(U201=0,0,U201)</f>
        <v>0</v>
      </c>
      <c r="BR201" s="81">
        <f>IF(W201=0,0,W201)</f>
        <v>0</v>
      </c>
      <c r="BS201" s="81">
        <f>IF(BQ201+BR201&gt;0,BQ201+BR201,0)</f>
        <v>0</v>
      </c>
      <c r="BT201" s="81">
        <f>IF(V201&gt;0,V201,0)</f>
        <v>0</v>
      </c>
      <c r="BU201" s="81">
        <f>IF(BP201=0,0,BP201)</f>
        <v>0</v>
      </c>
      <c r="BV201" s="81">
        <f>IF(BS201=0,0,BS201)</f>
        <v>0</v>
      </c>
      <c r="BW201" s="81">
        <f>IF(BP201+BT201+BV201&gt;0,BP201+BT201+BV201,0)</f>
        <v>0</v>
      </c>
      <c r="BX201" s="1"/>
      <c r="BY201" s="1"/>
      <c r="BZ201" s="1"/>
      <c r="CA201" s="1"/>
      <c r="CB201" s="1"/>
      <c r="CC201" s="1"/>
      <c r="CD201" s="1"/>
      <c r="CE201" s="1"/>
      <c r="CF201" s="1"/>
      <c r="CG201" s="1"/>
    </row>
    <row r="202" spans="1:85" ht="15.75" customHeight="1">
      <c r="A202" s="270"/>
      <c r="B202" s="271"/>
      <c r="C202" s="272"/>
      <c r="D202" s="112" t="s">
        <v>344</v>
      </c>
      <c r="E202" s="58">
        <f t="shared" ref="E202:H202" si="910">E203</f>
        <v>6288.65</v>
      </c>
      <c r="F202" s="59">
        <f t="shared" si="910"/>
        <v>6288.65</v>
      </c>
      <c r="G202" s="59">
        <f t="shared" si="910"/>
        <v>0</v>
      </c>
      <c r="H202" s="59">
        <f t="shared" si="910"/>
        <v>0</v>
      </c>
      <c r="I202" s="60">
        <f t="shared" si="723"/>
        <v>0</v>
      </c>
      <c r="J202" s="60">
        <f t="shared" si="724"/>
        <v>0</v>
      </c>
      <c r="K202" s="59">
        <f t="shared" ref="K202:N202" si="911">K203</f>
        <v>0</v>
      </c>
      <c r="L202" s="59">
        <f t="shared" si="911"/>
        <v>0</v>
      </c>
      <c r="M202" s="59">
        <f t="shared" si="911"/>
        <v>0</v>
      </c>
      <c r="N202" s="59">
        <f t="shared" si="911"/>
        <v>0</v>
      </c>
      <c r="O202" s="64">
        <f t="shared" ref="O202:Q202" si="912">AA202+AD202+AG202+AJ202+AM202+AP202+AS202+AV202+AY202+BB202+BE202+BH202</f>
        <v>0</v>
      </c>
      <c r="P202" s="64">
        <f t="shared" si="912"/>
        <v>0</v>
      </c>
      <c r="Q202" s="64">
        <f t="shared" si="912"/>
        <v>0</v>
      </c>
      <c r="R202" s="64">
        <f t="shared" ref="R202:T202" si="913">IF(BK202=0,SUM(AA202+AD202+AG202+AJ202+AM202+AP202+AS202+AV202+AY202+BB202+BE202+BH202),BK202)</f>
        <v>0</v>
      </c>
      <c r="S202" s="64">
        <f t="shared" si="913"/>
        <v>0</v>
      </c>
      <c r="T202" s="64">
        <f t="shared" si="913"/>
        <v>0</v>
      </c>
      <c r="U202" s="259">
        <f t="shared" si="885"/>
        <v>0</v>
      </c>
      <c r="V202" s="259">
        <f>L202-P202-M202</f>
        <v>0</v>
      </c>
      <c r="W202" s="259">
        <f t="shared" si="886"/>
        <v>0</v>
      </c>
      <c r="X202" s="63">
        <f t="shared" ref="X202:Y202" si="914">IF(O202&gt;0,O202/K202,0)</f>
        <v>0</v>
      </c>
      <c r="Y202" s="63">
        <f t="shared" si="914"/>
        <v>0</v>
      </c>
      <c r="Z202" s="63">
        <f t="shared" si="720"/>
        <v>0</v>
      </c>
      <c r="AA202" s="260"/>
      <c r="AB202" s="260"/>
      <c r="AC202" s="260"/>
      <c r="AD202" s="260"/>
      <c r="AE202" s="260"/>
      <c r="AF202" s="260"/>
      <c r="AG202" s="260"/>
      <c r="AH202" s="260"/>
      <c r="AI202" s="260"/>
      <c r="AJ202" s="260"/>
      <c r="AK202" s="260"/>
      <c r="AL202" s="260"/>
      <c r="AM202" s="260"/>
      <c r="AN202" s="260"/>
      <c r="AO202" s="260"/>
      <c r="AP202" s="260"/>
      <c r="AQ202" s="260"/>
      <c r="AR202" s="260"/>
      <c r="AS202" s="260"/>
      <c r="AT202" s="260"/>
      <c r="AU202" s="260"/>
      <c r="AV202" s="260"/>
      <c r="AW202" s="260"/>
      <c r="AX202" s="260"/>
      <c r="AY202" s="260"/>
      <c r="AZ202" s="260"/>
      <c r="BA202" s="260"/>
      <c r="BB202" s="260"/>
      <c r="BC202" s="260"/>
      <c r="BD202" s="260"/>
      <c r="BE202" s="260"/>
      <c r="BF202" s="260"/>
      <c r="BG202" s="260"/>
      <c r="BH202" s="260"/>
      <c r="BI202" s="260"/>
      <c r="BJ202" s="260"/>
      <c r="BK202" s="59">
        <f t="shared" ref="BK202:BW202" si="915">SUM(BK203)</f>
        <v>0</v>
      </c>
      <c r="BL202" s="59">
        <f t="shared" si="915"/>
        <v>0</v>
      </c>
      <c r="BM202" s="59">
        <f t="shared" si="915"/>
        <v>0</v>
      </c>
      <c r="BN202" s="59">
        <f t="shared" si="915"/>
        <v>0</v>
      </c>
      <c r="BO202" s="59">
        <f t="shared" si="915"/>
        <v>0</v>
      </c>
      <c r="BP202" s="59">
        <f t="shared" si="915"/>
        <v>0</v>
      </c>
      <c r="BQ202" s="59">
        <f t="shared" si="915"/>
        <v>0</v>
      </c>
      <c r="BR202" s="59">
        <f t="shared" si="915"/>
        <v>0</v>
      </c>
      <c r="BS202" s="59">
        <f t="shared" si="915"/>
        <v>0</v>
      </c>
      <c r="BT202" s="59">
        <f t="shared" si="915"/>
        <v>0</v>
      </c>
      <c r="BU202" s="59">
        <f t="shared" si="915"/>
        <v>0</v>
      </c>
      <c r="BV202" s="59">
        <f t="shared" si="915"/>
        <v>0</v>
      </c>
      <c r="BW202" s="59">
        <f t="shared" si="915"/>
        <v>0</v>
      </c>
      <c r="BX202" s="1"/>
      <c r="BY202" s="1"/>
      <c r="BZ202" s="1"/>
      <c r="CA202" s="1"/>
      <c r="CB202" s="1"/>
      <c r="CC202" s="1"/>
      <c r="CD202" s="1"/>
      <c r="CE202" s="1"/>
      <c r="CF202" s="1"/>
      <c r="CG202" s="1"/>
    </row>
    <row r="203" spans="1:85" ht="15.75" customHeight="1">
      <c r="A203" s="253"/>
      <c r="B203" s="254"/>
      <c r="C203" s="185" t="s">
        <v>455</v>
      </c>
      <c r="D203" s="255" t="s">
        <v>456</v>
      </c>
      <c r="E203" s="70">
        <v>6288.65</v>
      </c>
      <c r="F203" s="131">
        <v>6288.65</v>
      </c>
      <c r="G203" s="71">
        <f>E203-F203</f>
        <v>0</v>
      </c>
      <c r="H203" s="70"/>
      <c r="I203" s="72">
        <f t="shared" si="723"/>
        <v>0</v>
      </c>
      <c r="J203" s="72">
        <f t="shared" si="724"/>
        <v>0</v>
      </c>
      <c r="K203" s="88"/>
      <c r="L203" s="75"/>
      <c r="M203" s="75"/>
      <c r="N203" s="76"/>
      <c r="O203" s="77">
        <f t="shared" ref="O203:Q203" si="916">AA203+AD203+AG203+AJ203+AM203+AP203+AS203+AV203+AY203+BB203+BE203+BH203</f>
        <v>0</v>
      </c>
      <c r="P203" s="77">
        <f t="shared" si="916"/>
        <v>0</v>
      </c>
      <c r="Q203" s="77">
        <f t="shared" si="916"/>
        <v>0</v>
      </c>
      <c r="R203" s="77">
        <f t="shared" ref="R203:T203" si="917">IF(BK203=0,SUM(AA203+AD203+AG203+AJ203+AM203+AP203+AS203+AV203+AY203+BB203+BE203+BH203),BK203)</f>
        <v>0</v>
      </c>
      <c r="S203" s="77">
        <f t="shared" si="917"/>
        <v>0</v>
      </c>
      <c r="T203" s="77">
        <f t="shared" si="917"/>
        <v>0</v>
      </c>
      <c r="U203" s="79">
        <f t="shared" si="885"/>
        <v>0</v>
      </c>
      <c r="V203" s="79">
        <f>L203-M203-S203</f>
        <v>0</v>
      </c>
      <c r="W203" s="79">
        <f t="shared" si="886"/>
        <v>0</v>
      </c>
      <c r="X203" s="80">
        <f t="shared" ref="X203:Y203" si="918">IF(O203&gt;0,O203/K203,0)</f>
        <v>0</v>
      </c>
      <c r="Y203" s="80">
        <f t="shared" si="918"/>
        <v>0</v>
      </c>
      <c r="Z203" s="80">
        <f t="shared" si="720"/>
        <v>0</v>
      </c>
      <c r="AA203" s="75"/>
      <c r="AB203" s="75"/>
      <c r="AC203" s="75"/>
      <c r="AD203" s="75"/>
      <c r="AE203" s="83"/>
      <c r="AF203" s="83"/>
      <c r="AG203" s="83"/>
      <c r="AH203" s="83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241">
        <v>0</v>
      </c>
      <c r="BL203" s="241">
        <v>0</v>
      </c>
      <c r="BM203" s="241">
        <v>0</v>
      </c>
      <c r="BN203" s="81">
        <f>IF(O203-BK203&gt;0,O203-BK203,0)</f>
        <v>0</v>
      </c>
      <c r="BO203" s="75">
        <f>IF(Q203-BM203&gt;0,Q203-BM203,0)</f>
        <v>0</v>
      </c>
      <c r="BP203" s="81">
        <f>IF(BN203+BO203&gt;0,BN203+BO203,0)</f>
        <v>0</v>
      </c>
      <c r="BQ203" s="81">
        <f>IF(U203=0,0,U203)</f>
        <v>0</v>
      </c>
      <c r="BR203" s="81">
        <f>IF(W203=0,0,W203)</f>
        <v>0</v>
      </c>
      <c r="BS203" s="81">
        <f>IF(BQ203+BR203&gt;0,BQ203+BR203,0)</f>
        <v>0</v>
      </c>
      <c r="BT203" s="81">
        <f>IF(V203&gt;0,V203,0)</f>
        <v>0</v>
      </c>
      <c r="BU203" s="81">
        <f>IF(BP203=0,0,BP203)</f>
        <v>0</v>
      </c>
      <c r="BV203" s="81">
        <f>IF(BS203=0,0,BS203)</f>
        <v>0</v>
      </c>
      <c r="BW203" s="81">
        <f>IF(BP203+BT203+BV203&gt;0,BP203+BT203+BV203,0)</f>
        <v>0</v>
      </c>
      <c r="BX203" s="1"/>
      <c r="BY203" s="1"/>
      <c r="BZ203" s="1"/>
      <c r="CA203" s="1"/>
      <c r="CB203" s="1"/>
      <c r="CC203" s="1"/>
      <c r="CD203" s="1"/>
      <c r="CE203" s="1"/>
      <c r="CF203" s="1"/>
      <c r="CG203" s="1"/>
    </row>
    <row r="204" spans="1:85" ht="15.75" customHeight="1">
      <c r="A204" s="247"/>
      <c r="B204" s="248"/>
      <c r="C204" s="249"/>
      <c r="D204" s="250" t="s">
        <v>457</v>
      </c>
      <c r="E204" s="104">
        <f t="shared" ref="E204:H204" si="919">E205+E207+E209</f>
        <v>10000</v>
      </c>
      <c r="F204" s="104">
        <f t="shared" si="919"/>
        <v>0</v>
      </c>
      <c r="G204" s="104">
        <f t="shared" si="919"/>
        <v>10000</v>
      </c>
      <c r="H204" s="104">
        <f t="shared" si="919"/>
        <v>0</v>
      </c>
      <c r="I204" s="105">
        <f t="shared" si="723"/>
        <v>6.239999999999999E-2</v>
      </c>
      <c r="J204" s="105">
        <f t="shared" si="724"/>
        <v>6.2399999999999997E-2</v>
      </c>
      <c r="K204" s="104">
        <f t="shared" ref="K204:W204" si="920">K205+K207+K209</f>
        <v>623.99999999999989</v>
      </c>
      <c r="L204" s="104">
        <f t="shared" si="920"/>
        <v>18841</v>
      </c>
      <c r="M204" s="104">
        <f t="shared" si="920"/>
        <v>0</v>
      </c>
      <c r="N204" s="104">
        <f t="shared" si="920"/>
        <v>0</v>
      </c>
      <c r="O204" s="104">
        <f t="shared" si="920"/>
        <v>624</v>
      </c>
      <c r="P204" s="104">
        <f t="shared" si="920"/>
        <v>17566</v>
      </c>
      <c r="Q204" s="104">
        <f t="shared" si="920"/>
        <v>0</v>
      </c>
      <c r="R204" s="104">
        <f t="shared" si="920"/>
        <v>624</v>
      </c>
      <c r="S204" s="104">
        <f t="shared" si="920"/>
        <v>17566</v>
      </c>
      <c r="T204" s="104">
        <f t="shared" si="920"/>
        <v>0</v>
      </c>
      <c r="U204" s="104">
        <f t="shared" si="920"/>
        <v>0</v>
      </c>
      <c r="V204" s="104">
        <f t="shared" si="920"/>
        <v>1275</v>
      </c>
      <c r="W204" s="104">
        <f t="shared" si="920"/>
        <v>0</v>
      </c>
      <c r="X204" s="106">
        <f t="shared" ref="X204:Y204" si="921">IF(O204&gt;0,O204/K204,0)</f>
        <v>1.0000000000000002</v>
      </c>
      <c r="Y204" s="106">
        <f t="shared" si="921"/>
        <v>0.93232843267342502</v>
      </c>
      <c r="Z204" s="106">
        <f t="shared" si="720"/>
        <v>0</v>
      </c>
      <c r="AA204" s="104">
        <f t="shared" ref="AA204:BW204" si="922">AA205+AA207+AA209</f>
        <v>0</v>
      </c>
      <c r="AB204" s="104">
        <f t="shared" si="922"/>
        <v>1750</v>
      </c>
      <c r="AC204" s="104">
        <f t="shared" si="922"/>
        <v>0</v>
      </c>
      <c r="AD204" s="104">
        <f t="shared" si="922"/>
        <v>0</v>
      </c>
      <c r="AE204" s="104">
        <f t="shared" si="922"/>
        <v>324</v>
      </c>
      <c r="AF204" s="104">
        <f t="shared" si="922"/>
        <v>0</v>
      </c>
      <c r="AG204" s="104">
        <f t="shared" si="922"/>
        <v>0</v>
      </c>
      <c r="AH204" s="104">
        <f t="shared" si="922"/>
        <v>0</v>
      </c>
      <c r="AI204" s="104">
        <f t="shared" si="922"/>
        <v>0</v>
      </c>
      <c r="AJ204" s="104">
        <f t="shared" si="922"/>
        <v>0</v>
      </c>
      <c r="AK204" s="104">
        <f t="shared" si="922"/>
        <v>0</v>
      </c>
      <c r="AL204" s="104">
        <f t="shared" si="922"/>
        <v>0</v>
      </c>
      <c r="AM204" s="104">
        <f t="shared" si="922"/>
        <v>0</v>
      </c>
      <c r="AN204" s="104">
        <f t="shared" si="922"/>
        <v>0</v>
      </c>
      <c r="AO204" s="104">
        <f t="shared" si="922"/>
        <v>0</v>
      </c>
      <c r="AP204" s="104">
        <f t="shared" si="922"/>
        <v>0</v>
      </c>
      <c r="AQ204" s="104">
        <f t="shared" si="922"/>
        <v>3392</v>
      </c>
      <c r="AR204" s="104">
        <f t="shared" si="922"/>
        <v>0</v>
      </c>
      <c r="AS204" s="104">
        <f t="shared" si="922"/>
        <v>0</v>
      </c>
      <c r="AT204" s="104">
        <f t="shared" si="922"/>
        <v>12100</v>
      </c>
      <c r="AU204" s="104">
        <f t="shared" si="922"/>
        <v>0</v>
      </c>
      <c r="AV204" s="104">
        <f t="shared" si="922"/>
        <v>0</v>
      </c>
      <c r="AW204" s="104">
        <f t="shared" si="922"/>
        <v>0</v>
      </c>
      <c r="AX204" s="104">
        <f t="shared" si="922"/>
        <v>0</v>
      </c>
      <c r="AY204" s="104">
        <f t="shared" si="922"/>
        <v>144</v>
      </c>
      <c r="AZ204" s="104">
        <f t="shared" si="922"/>
        <v>0</v>
      </c>
      <c r="BA204" s="104">
        <f t="shared" si="922"/>
        <v>0</v>
      </c>
      <c r="BB204" s="104">
        <f t="shared" si="922"/>
        <v>0</v>
      </c>
      <c r="BC204" s="104">
        <f t="shared" si="922"/>
        <v>0</v>
      </c>
      <c r="BD204" s="104">
        <f t="shared" si="922"/>
        <v>0</v>
      </c>
      <c r="BE204" s="104">
        <f t="shared" si="922"/>
        <v>0</v>
      </c>
      <c r="BF204" s="104">
        <f t="shared" si="922"/>
        <v>0</v>
      </c>
      <c r="BG204" s="104">
        <f t="shared" si="922"/>
        <v>0</v>
      </c>
      <c r="BH204" s="104">
        <f t="shared" si="922"/>
        <v>480</v>
      </c>
      <c r="BI204" s="104">
        <f t="shared" si="922"/>
        <v>0</v>
      </c>
      <c r="BJ204" s="104">
        <f t="shared" si="922"/>
        <v>0</v>
      </c>
      <c r="BK204" s="104">
        <f t="shared" si="922"/>
        <v>624</v>
      </c>
      <c r="BL204" s="104">
        <f t="shared" si="922"/>
        <v>17566</v>
      </c>
      <c r="BM204" s="104">
        <f t="shared" si="922"/>
        <v>0</v>
      </c>
      <c r="BN204" s="104">
        <f t="shared" si="922"/>
        <v>0</v>
      </c>
      <c r="BO204" s="104">
        <f t="shared" si="922"/>
        <v>0</v>
      </c>
      <c r="BP204" s="104">
        <f t="shared" si="922"/>
        <v>0</v>
      </c>
      <c r="BQ204" s="104">
        <f t="shared" si="922"/>
        <v>0</v>
      </c>
      <c r="BR204" s="104">
        <f t="shared" si="922"/>
        <v>0</v>
      </c>
      <c r="BS204" s="104">
        <f t="shared" si="922"/>
        <v>0</v>
      </c>
      <c r="BT204" s="104">
        <f t="shared" si="922"/>
        <v>1275</v>
      </c>
      <c r="BU204" s="104">
        <f t="shared" si="922"/>
        <v>0</v>
      </c>
      <c r="BV204" s="104">
        <f t="shared" si="922"/>
        <v>0</v>
      </c>
      <c r="BW204" s="104">
        <f t="shared" si="922"/>
        <v>1275</v>
      </c>
      <c r="BX204" s="1"/>
      <c r="BY204" s="1"/>
      <c r="BZ204" s="1"/>
      <c r="CA204" s="1"/>
      <c r="CB204" s="1"/>
      <c r="CC204" s="1"/>
      <c r="CD204" s="1"/>
      <c r="CE204" s="1"/>
      <c r="CF204" s="1"/>
      <c r="CG204" s="1"/>
    </row>
    <row r="205" spans="1:85" ht="15.75">
      <c r="A205" s="270"/>
      <c r="B205" s="271"/>
      <c r="C205" s="272"/>
      <c r="D205" s="112" t="s">
        <v>116</v>
      </c>
      <c r="E205" s="58">
        <f t="shared" ref="E205:H205" si="923">E206</f>
        <v>5000</v>
      </c>
      <c r="F205" s="59">
        <f t="shared" si="923"/>
        <v>0</v>
      </c>
      <c r="G205" s="59">
        <f t="shared" si="923"/>
        <v>5000</v>
      </c>
      <c r="H205" s="59">
        <f t="shared" si="923"/>
        <v>0</v>
      </c>
      <c r="I205" s="60">
        <f t="shared" si="723"/>
        <v>0</v>
      </c>
      <c r="J205" s="60">
        <f t="shared" si="724"/>
        <v>0</v>
      </c>
      <c r="K205" s="59">
        <f t="shared" ref="K205:W205" si="924">K206</f>
        <v>0</v>
      </c>
      <c r="L205" s="59">
        <f t="shared" si="924"/>
        <v>0</v>
      </c>
      <c r="M205" s="59">
        <f t="shared" si="924"/>
        <v>0</v>
      </c>
      <c r="N205" s="59">
        <f t="shared" si="924"/>
        <v>0</v>
      </c>
      <c r="O205" s="59">
        <f t="shared" si="924"/>
        <v>0</v>
      </c>
      <c r="P205" s="59">
        <f t="shared" si="924"/>
        <v>0</v>
      </c>
      <c r="Q205" s="59">
        <f t="shared" si="924"/>
        <v>0</v>
      </c>
      <c r="R205" s="59">
        <f t="shared" si="924"/>
        <v>0</v>
      </c>
      <c r="S205" s="59">
        <f t="shared" si="924"/>
        <v>0</v>
      </c>
      <c r="T205" s="59">
        <f t="shared" si="924"/>
        <v>0</v>
      </c>
      <c r="U205" s="59">
        <f t="shared" si="924"/>
        <v>0</v>
      </c>
      <c r="V205" s="59">
        <f t="shared" si="924"/>
        <v>0</v>
      </c>
      <c r="W205" s="59">
        <f t="shared" si="924"/>
        <v>0</v>
      </c>
      <c r="X205" s="63">
        <f t="shared" ref="X205:Y205" si="925">IF(O205&gt;0,O205/K205,0)</f>
        <v>0</v>
      </c>
      <c r="Y205" s="63">
        <f t="shared" si="925"/>
        <v>0</v>
      </c>
      <c r="Z205" s="63">
        <f t="shared" si="720"/>
        <v>0</v>
      </c>
      <c r="AA205" s="59">
        <f t="shared" ref="AA205:BW205" si="926">AA206</f>
        <v>0</v>
      </c>
      <c r="AB205" s="59">
        <f t="shared" si="926"/>
        <v>0</v>
      </c>
      <c r="AC205" s="59">
        <f t="shared" si="926"/>
        <v>0</v>
      </c>
      <c r="AD205" s="59">
        <f t="shared" si="926"/>
        <v>0</v>
      </c>
      <c r="AE205" s="59">
        <f t="shared" si="926"/>
        <v>0</v>
      </c>
      <c r="AF205" s="59">
        <f t="shared" si="926"/>
        <v>0</v>
      </c>
      <c r="AG205" s="59">
        <f t="shared" si="926"/>
        <v>0</v>
      </c>
      <c r="AH205" s="59">
        <f t="shared" si="926"/>
        <v>0</v>
      </c>
      <c r="AI205" s="59">
        <f t="shared" si="926"/>
        <v>0</v>
      </c>
      <c r="AJ205" s="59">
        <f t="shared" si="926"/>
        <v>0</v>
      </c>
      <c r="AK205" s="59">
        <f t="shared" si="926"/>
        <v>0</v>
      </c>
      <c r="AL205" s="59">
        <f t="shared" si="926"/>
        <v>0</v>
      </c>
      <c r="AM205" s="59">
        <f t="shared" si="926"/>
        <v>0</v>
      </c>
      <c r="AN205" s="59">
        <f t="shared" si="926"/>
        <v>0</v>
      </c>
      <c r="AO205" s="59">
        <f t="shared" si="926"/>
        <v>0</v>
      </c>
      <c r="AP205" s="59">
        <f t="shared" si="926"/>
        <v>0</v>
      </c>
      <c r="AQ205" s="59">
        <f t="shared" si="926"/>
        <v>0</v>
      </c>
      <c r="AR205" s="59">
        <f t="shared" si="926"/>
        <v>0</v>
      </c>
      <c r="AS205" s="59">
        <f t="shared" si="926"/>
        <v>0</v>
      </c>
      <c r="AT205" s="59">
        <f t="shared" si="926"/>
        <v>0</v>
      </c>
      <c r="AU205" s="59">
        <f t="shared" si="926"/>
        <v>0</v>
      </c>
      <c r="AV205" s="59">
        <f t="shared" si="926"/>
        <v>0</v>
      </c>
      <c r="AW205" s="59">
        <f t="shared" si="926"/>
        <v>0</v>
      </c>
      <c r="AX205" s="59">
        <f t="shared" si="926"/>
        <v>0</v>
      </c>
      <c r="AY205" s="59">
        <f t="shared" si="926"/>
        <v>0</v>
      </c>
      <c r="AZ205" s="59">
        <f t="shared" si="926"/>
        <v>0</v>
      </c>
      <c r="BA205" s="59">
        <f t="shared" si="926"/>
        <v>0</v>
      </c>
      <c r="BB205" s="59">
        <f t="shared" si="926"/>
        <v>0</v>
      </c>
      <c r="BC205" s="59">
        <f t="shared" si="926"/>
        <v>0</v>
      </c>
      <c r="BD205" s="59">
        <f t="shared" si="926"/>
        <v>0</v>
      </c>
      <c r="BE205" s="59">
        <f t="shared" si="926"/>
        <v>0</v>
      </c>
      <c r="BF205" s="59">
        <f t="shared" si="926"/>
        <v>0</v>
      </c>
      <c r="BG205" s="59">
        <f t="shared" si="926"/>
        <v>0</v>
      </c>
      <c r="BH205" s="59">
        <f t="shared" si="926"/>
        <v>0</v>
      </c>
      <c r="BI205" s="59">
        <f t="shared" si="926"/>
        <v>0</v>
      </c>
      <c r="BJ205" s="59">
        <f t="shared" si="926"/>
        <v>0</v>
      </c>
      <c r="BK205" s="59">
        <f t="shared" si="926"/>
        <v>0</v>
      </c>
      <c r="BL205" s="59">
        <f t="shared" si="926"/>
        <v>0</v>
      </c>
      <c r="BM205" s="59">
        <f t="shared" si="926"/>
        <v>0</v>
      </c>
      <c r="BN205" s="59">
        <f t="shared" si="926"/>
        <v>0</v>
      </c>
      <c r="BO205" s="59">
        <f t="shared" si="926"/>
        <v>0</v>
      </c>
      <c r="BP205" s="59">
        <f t="shared" si="926"/>
        <v>0</v>
      </c>
      <c r="BQ205" s="59">
        <f t="shared" si="926"/>
        <v>0</v>
      </c>
      <c r="BR205" s="59">
        <f t="shared" si="926"/>
        <v>0</v>
      </c>
      <c r="BS205" s="59">
        <f t="shared" si="926"/>
        <v>0</v>
      </c>
      <c r="BT205" s="59">
        <f t="shared" si="926"/>
        <v>0</v>
      </c>
      <c r="BU205" s="59">
        <f t="shared" si="926"/>
        <v>0</v>
      </c>
      <c r="BV205" s="59">
        <f t="shared" si="926"/>
        <v>0</v>
      </c>
      <c r="BW205" s="59">
        <f t="shared" si="926"/>
        <v>0</v>
      </c>
      <c r="BX205" s="1"/>
      <c r="BY205" s="1"/>
      <c r="BZ205" s="1"/>
      <c r="CA205" s="1"/>
      <c r="CB205" s="1"/>
      <c r="CC205" s="1"/>
      <c r="CD205" s="1"/>
      <c r="CE205" s="1"/>
      <c r="CF205" s="1"/>
      <c r="CG205" s="1"/>
    </row>
    <row r="206" spans="1:85" ht="15.75" customHeight="1">
      <c r="A206" s="253"/>
      <c r="B206" s="274"/>
      <c r="C206" s="185" t="s">
        <v>118</v>
      </c>
      <c r="D206" s="255" t="s">
        <v>458</v>
      </c>
      <c r="E206" s="70">
        <v>5000</v>
      </c>
      <c r="F206" s="71"/>
      <c r="G206" s="71">
        <f>E206-F206</f>
        <v>5000</v>
      </c>
      <c r="H206" s="70"/>
      <c r="I206" s="72">
        <f t="shared" si="723"/>
        <v>0</v>
      </c>
      <c r="J206" s="72">
        <f t="shared" si="724"/>
        <v>0</v>
      </c>
      <c r="K206" s="252"/>
      <c r="L206" s="81"/>
      <c r="M206" s="75"/>
      <c r="N206" s="76"/>
      <c r="O206" s="77">
        <f t="shared" ref="O206:Q206" si="927">AA206+AD206+AG206+AJ206+AM206+AP206+AS206+AV206+AY206+BB206+BE206+BH206</f>
        <v>0</v>
      </c>
      <c r="P206" s="77">
        <f t="shared" si="927"/>
        <v>0</v>
      </c>
      <c r="Q206" s="77">
        <f t="shared" si="927"/>
        <v>0</v>
      </c>
      <c r="R206" s="77">
        <f t="shared" ref="R206:T206" si="928">IF(BK206=0,SUM(AA206+AD206+AG206+AJ206+AM206+AP206+AS206+AV206+AY206+BB206+BE206+BH206),BK206)</f>
        <v>0</v>
      </c>
      <c r="S206" s="77">
        <f t="shared" si="928"/>
        <v>0</v>
      </c>
      <c r="T206" s="77">
        <f t="shared" si="928"/>
        <v>0</v>
      </c>
      <c r="U206" s="79">
        <f>K206-O206</f>
        <v>0</v>
      </c>
      <c r="V206" s="79">
        <f>L206-M206-S206</f>
        <v>0</v>
      </c>
      <c r="W206" s="79">
        <f>N206-Q206</f>
        <v>0</v>
      </c>
      <c r="X206" s="80">
        <f t="shared" ref="X206:Y206" si="929">IF(O206&gt;0,O206/K206,0)</f>
        <v>0</v>
      </c>
      <c r="Y206" s="80">
        <f t="shared" si="929"/>
        <v>0</v>
      </c>
      <c r="Z206" s="80">
        <f t="shared" si="720"/>
        <v>0</v>
      </c>
      <c r="AA206" s="81"/>
      <c r="AB206" s="81"/>
      <c r="AC206" s="81"/>
      <c r="AD206" s="81"/>
      <c r="AE206" s="83"/>
      <c r="AF206" s="83"/>
      <c r="AG206" s="83"/>
      <c r="AH206" s="83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81"/>
      <c r="AZ206" s="81"/>
      <c r="BA206" s="81"/>
      <c r="BB206" s="81"/>
      <c r="BC206" s="81"/>
      <c r="BD206" s="81"/>
      <c r="BE206" s="81"/>
      <c r="BF206" s="81"/>
      <c r="BG206" s="81"/>
      <c r="BH206" s="81"/>
      <c r="BI206" s="81"/>
      <c r="BJ206" s="81"/>
      <c r="BK206" s="241">
        <v>0</v>
      </c>
      <c r="BL206" s="241">
        <v>0</v>
      </c>
      <c r="BM206" s="241">
        <v>0</v>
      </c>
      <c r="BN206" s="81">
        <f>IF(O206-BK206&gt;0,O206-BK206,0)</f>
        <v>0</v>
      </c>
      <c r="BO206" s="75">
        <f>IF(Q206-BM206&gt;0,Q206-BM206,0)</f>
        <v>0</v>
      </c>
      <c r="BP206" s="81">
        <f>IF(BN206+BO206&gt;0,BN206+BO206,0)</f>
        <v>0</v>
      </c>
      <c r="BQ206" s="81">
        <f>IF(U206=0,0,U206)</f>
        <v>0</v>
      </c>
      <c r="BR206" s="81">
        <f>IF(W206=0,0,W206)</f>
        <v>0</v>
      </c>
      <c r="BS206" s="81">
        <f>IF(BQ206+BR206&gt;0,BQ206+BR206,0)</f>
        <v>0</v>
      </c>
      <c r="BT206" s="81">
        <f>IF(V206&gt;0,V206,0)</f>
        <v>0</v>
      </c>
      <c r="BU206" s="81">
        <f>IF(BP206=0,0,BP206)</f>
        <v>0</v>
      </c>
      <c r="BV206" s="81">
        <f>IF(BS206=0,0,BS206)</f>
        <v>0</v>
      </c>
      <c r="BW206" s="81">
        <f>IF(BP206+BT206+BV206&gt;0,BP206+BT206+BV206,0)</f>
        <v>0</v>
      </c>
      <c r="BX206" s="1"/>
      <c r="BY206" s="1"/>
      <c r="BZ206" s="1"/>
      <c r="CA206" s="1"/>
      <c r="CB206" s="1"/>
      <c r="CC206" s="1"/>
      <c r="CD206" s="1"/>
      <c r="CE206" s="1"/>
      <c r="CF206" s="1"/>
      <c r="CG206" s="1"/>
    </row>
    <row r="207" spans="1:85" ht="15.75" customHeight="1">
      <c r="A207" s="270"/>
      <c r="B207" s="271"/>
      <c r="C207" s="272"/>
      <c r="D207" s="112" t="s">
        <v>452</v>
      </c>
      <c r="E207" s="58">
        <f t="shared" ref="E207:H207" si="930">E208</f>
        <v>0</v>
      </c>
      <c r="F207" s="59">
        <f t="shared" si="930"/>
        <v>0</v>
      </c>
      <c r="G207" s="59">
        <f t="shared" si="930"/>
        <v>0</v>
      </c>
      <c r="H207" s="59">
        <f t="shared" si="930"/>
        <v>0</v>
      </c>
      <c r="I207" s="60">
        <f t="shared" si="723"/>
        <v>0</v>
      </c>
      <c r="J207" s="60">
        <f t="shared" si="724"/>
        <v>0</v>
      </c>
      <c r="K207" s="59">
        <f t="shared" ref="K207:W207" si="931">K208</f>
        <v>0</v>
      </c>
      <c r="L207" s="59">
        <f t="shared" si="931"/>
        <v>0</v>
      </c>
      <c r="M207" s="59">
        <f t="shared" si="931"/>
        <v>0</v>
      </c>
      <c r="N207" s="59">
        <f t="shared" si="931"/>
        <v>0</v>
      </c>
      <c r="O207" s="59">
        <f t="shared" si="931"/>
        <v>0</v>
      </c>
      <c r="P207" s="59">
        <f t="shared" si="931"/>
        <v>0</v>
      </c>
      <c r="Q207" s="59">
        <f t="shared" si="931"/>
        <v>0</v>
      </c>
      <c r="R207" s="59">
        <f t="shared" si="931"/>
        <v>0</v>
      </c>
      <c r="S207" s="59">
        <f t="shared" si="931"/>
        <v>0</v>
      </c>
      <c r="T207" s="59">
        <f t="shared" si="931"/>
        <v>0</v>
      </c>
      <c r="U207" s="59">
        <f t="shared" si="931"/>
        <v>0</v>
      </c>
      <c r="V207" s="59">
        <f t="shared" si="931"/>
        <v>0</v>
      </c>
      <c r="W207" s="59">
        <f t="shared" si="931"/>
        <v>0</v>
      </c>
      <c r="X207" s="63">
        <f t="shared" ref="X207:Y207" si="932">IF(O207&gt;0,O207/K207,0)</f>
        <v>0</v>
      </c>
      <c r="Y207" s="63">
        <f t="shared" si="932"/>
        <v>0</v>
      </c>
      <c r="Z207" s="63">
        <f t="shared" si="720"/>
        <v>0</v>
      </c>
      <c r="AA207" s="59">
        <f t="shared" ref="AA207:BW207" si="933">AA208</f>
        <v>0</v>
      </c>
      <c r="AB207" s="59">
        <f t="shared" si="933"/>
        <v>0</v>
      </c>
      <c r="AC207" s="59">
        <f t="shared" si="933"/>
        <v>0</v>
      </c>
      <c r="AD207" s="59">
        <f t="shared" si="933"/>
        <v>0</v>
      </c>
      <c r="AE207" s="59">
        <f t="shared" si="933"/>
        <v>0</v>
      </c>
      <c r="AF207" s="59">
        <f t="shared" si="933"/>
        <v>0</v>
      </c>
      <c r="AG207" s="59">
        <f t="shared" si="933"/>
        <v>0</v>
      </c>
      <c r="AH207" s="59">
        <f t="shared" si="933"/>
        <v>0</v>
      </c>
      <c r="AI207" s="59">
        <f t="shared" si="933"/>
        <v>0</v>
      </c>
      <c r="AJ207" s="59">
        <f t="shared" si="933"/>
        <v>0</v>
      </c>
      <c r="AK207" s="59">
        <f t="shared" si="933"/>
        <v>0</v>
      </c>
      <c r="AL207" s="59">
        <f t="shared" si="933"/>
        <v>0</v>
      </c>
      <c r="AM207" s="59">
        <f t="shared" si="933"/>
        <v>0</v>
      </c>
      <c r="AN207" s="59">
        <f t="shared" si="933"/>
        <v>0</v>
      </c>
      <c r="AO207" s="59">
        <f t="shared" si="933"/>
        <v>0</v>
      </c>
      <c r="AP207" s="59">
        <f t="shared" si="933"/>
        <v>0</v>
      </c>
      <c r="AQ207" s="59">
        <f t="shared" si="933"/>
        <v>0</v>
      </c>
      <c r="AR207" s="59">
        <f t="shared" si="933"/>
        <v>0</v>
      </c>
      <c r="AS207" s="59">
        <f t="shared" si="933"/>
        <v>0</v>
      </c>
      <c r="AT207" s="59">
        <f t="shared" si="933"/>
        <v>0</v>
      </c>
      <c r="AU207" s="59">
        <f t="shared" si="933"/>
        <v>0</v>
      </c>
      <c r="AV207" s="59">
        <f t="shared" si="933"/>
        <v>0</v>
      </c>
      <c r="AW207" s="59">
        <f t="shared" si="933"/>
        <v>0</v>
      </c>
      <c r="AX207" s="59">
        <f t="shared" si="933"/>
        <v>0</v>
      </c>
      <c r="AY207" s="59">
        <f t="shared" si="933"/>
        <v>0</v>
      </c>
      <c r="AZ207" s="59">
        <f t="shared" si="933"/>
        <v>0</v>
      </c>
      <c r="BA207" s="59">
        <f t="shared" si="933"/>
        <v>0</v>
      </c>
      <c r="BB207" s="59">
        <f t="shared" si="933"/>
        <v>0</v>
      </c>
      <c r="BC207" s="59">
        <f t="shared" si="933"/>
        <v>0</v>
      </c>
      <c r="BD207" s="59">
        <f t="shared" si="933"/>
        <v>0</v>
      </c>
      <c r="BE207" s="59">
        <f t="shared" si="933"/>
        <v>0</v>
      </c>
      <c r="BF207" s="59">
        <f t="shared" si="933"/>
        <v>0</v>
      </c>
      <c r="BG207" s="59">
        <f t="shared" si="933"/>
        <v>0</v>
      </c>
      <c r="BH207" s="59">
        <f t="shared" si="933"/>
        <v>0</v>
      </c>
      <c r="BI207" s="59">
        <f t="shared" si="933"/>
        <v>0</v>
      </c>
      <c r="BJ207" s="59">
        <f t="shared" si="933"/>
        <v>0</v>
      </c>
      <c r="BK207" s="59">
        <f t="shared" si="933"/>
        <v>0</v>
      </c>
      <c r="BL207" s="59">
        <f t="shared" si="933"/>
        <v>0</v>
      </c>
      <c r="BM207" s="59">
        <f t="shared" si="933"/>
        <v>0</v>
      </c>
      <c r="BN207" s="59">
        <f t="shared" si="933"/>
        <v>0</v>
      </c>
      <c r="BO207" s="59">
        <f t="shared" si="933"/>
        <v>0</v>
      </c>
      <c r="BP207" s="59">
        <f t="shared" si="933"/>
        <v>0</v>
      </c>
      <c r="BQ207" s="59">
        <f t="shared" si="933"/>
        <v>0</v>
      </c>
      <c r="BR207" s="59">
        <f t="shared" si="933"/>
        <v>0</v>
      </c>
      <c r="BS207" s="59">
        <f t="shared" si="933"/>
        <v>0</v>
      </c>
      <c r="BT207" s="59">
        <f t="shared" si="933"/>
        <v>0</v>
      </c>
      <c r="BU207" s="59">
        <f t="shared" si="933"/>
        <v>0</v>
      </c>
      <c r="BV207" s="59">
        <f t="shared" si="933"/>
        <v>0</v>
      </c>
      <c r="BW207" s="59">
        <f t="shared" si="933"/>
        <v>0</v>
      </c>
      <c r="BX207" s="1"/>
      <c r="BY207" s="1"/>
      <c r="BZ207" s="1"/>
      <c r="CA207" s="1"/>
      <c r="CB207" s="1"/>
      <c r="CC207" s="1"/>
      <c r="CD207" s="1"/>
      <c r="CE207" s="1"/>
      <c r="CF207" s="1"/>
      <c r="CG207" s="1"/>
    </row>
    <row r="208" spans="1:85" ht="15.75" customHeight="1">
      <c r="A208" s="183" t="s">
        <v>459</v>
      </c>
      <c r="B208" s="254"/>
      <c r="C208" s="264" t="s">
        <v>460</v>
      </c>
      <c r="D208" s="273" t="s">
        <v>454</v>
      </c>
      <c r="E208" s="70"/>
      <c r="F208" s="71"/>
      <c r="G208" s="71"/>
      <c r="H208" s="70"/>
      <c r="I208" s="72">
        <f t="shared" si="723"/>
        <v>0</v>
      </c>
      <c r="J208" s="72">
        <f t="shared" si="724"/>
        <v>0</v>
      </c>
      <c r="K208" s="231"/>
      <c r="L208" s="81"/>
      <c r="M208" s="75"/>
      <c r="N208" s="275"/>
      <c r="O208" s="77">
        <f t="shared" ref="O208:Q208" si="934">AA208+AD208+AG208+AJ208+AM208+AP208+AS208+AV208+AY208+BB208+BE208+BH208</f>
        <v>0</v>
      </c>
      <c r="P208" s="77">
        <f t="shared" si="934"/>
        <v>0</v>
      </c>
      <c r="Q208" s="77">
        <f t="shared" si="934"/>
        <v>0</v>
      </c>
      <c r="R208" s="77">
        <f t="shared" ref="R208:T208" si="935">IF(BK208=0,SUM(AA208+AD208+AG208+AJ208+AM208+AP208+AS208+AV208+AY208+BB208+BE208+BH208),BK208)</f>
        <v>0</v>
      </c>
      <c r="S208" s="77">
        <f t="shared" si="935"/>
        <v>0</v>
      </c>
      <c r="T208" s="77">
        <f t="shared" si="935"/>
        <v>0</v>
      </c>
      <c r="U208" s="79">
        <f>K208-O208</f>
        <v>0</v>
      </c>
      <c r="V208" s="79">
        <f>L208-M208-S208</f>
        <v>0</v>
      </c>
      <c r="W208" s="79">
        <f>N208-Q208</f>
        <v>0</v>
      </c>
      <c r="X208" s="80">
        <f t="shared" ref="X208:Y208" si="936">IF(O208&gt;0,O208/K208,0)</f>
        <v>0</v>
      </c>
      <c r="Y208" s="80">
        <f t="shared" si="936"/>
        <v>0</v>
      </c>
      <c r="Z208" s="80">
        <f t="shared" si="720"/>
        <v>0</v>
      </c>
      <c r="AA208" s="81"/>
      <c r="AB208" s="81"/>
      <c r="AC208" s="81"/>
      <c r="AD208" s="81"/>
      <c r="AE208" s="83"/>
      <c r="AF208" s="83"/>
      <c r="AG208" s="83"/>
      <c r="AH208" s="83"/>
      <c r="AI208" s="81"/>
      <c r="AJ208" s="81"/>
      <c r="AK208" s="81"/>
      <c r="AL208" s="81"/>
      <c r="AM208" s="81"/>
      <c r="AN208" s="81"/>
      <c r="AO208" s="81"/>
      <c r="AP208" s="81"/>
      <c r="AQ208" s="81"/>
      <c r="AR208" s="81"/>
      <c r="AS208" s="81"/>
      <c r="AT208" s="81"/>
      <c r="AU208" s="81"/>
      <c r="AV208" s="81"/>
      <c r="AW208" s="81"/>
      <c r="AX208" s="81"/>
      <c r="AY208" s="81"/>
      <c r="AZ208" s="81"/>
      <c r="BA208" s="81"/>
      <c r="BB208" s="82"/>
      <c r="BC208" s="81"/>
      <c r="BD208" s="81"/>
      <c r="BE208" s="81"/>
      <c r="BF208" s="81"/>
      <c r="BG208" s="81"/>
      <c r="BH208" s="81"/>
      <c r="BI208" s="81"/>
      <c r="BJ208" s="81"/>
      <c r="BK208" s="241">
        <v>0</v>
      </c>
      <c r="BL208" s="241">
        <v>0</v>
      </c>
      <c r="BM208" s="241">
        <v>0</v>
      </c>
      <c r="BN208" s="81">
        <f>IF(O208-BK208&gt;0,O208-BK208,0)</f>
        <v>0</v>
      </c>
      <c r="BO208" s="75">
        <f>IF(Q208-BM208&gt;0,Q208-BM208,0)</f>
        <v>0</v>
      </c>
      <c r="BP208" s="81">
        <f>IF(BN208+BO208&gt;0,BN208+BO208,0)</f>
        <v>0</v>
      </c>
      <c r="BQ208" s="81">
        <f>IF(U208=0,0,U208)</f>
        <v>0</v>
      </c>
      <c r="BR208" s="81">
        <f>IF(W208=0,0,W208)</f>
        <v>0</v>
      </c>
      <c r="BS208" s="81">
        <f>IF(BQ208+BR208&gt;0,BQ208+BR208,0)</f>
        <v>0</v>
      </c>
      <c r="BT208" s="81">
        <f>IF(V208&gt;0,V208,0)</f>
        <v>0</v>
      </c>
      <c r="BU208" s="81">
        <f>IF(BP208=0,0,BP208)</f>
        <v>0</v>
      </c>
      <c r="BV208" s="81">
        <f>IF(BS208=0,0,BS208)</f>
        <v>0</v>
      </c>
      <c r="BW208" s="81">
        <f>IF(BP208+BT208+BV208&gt;0,BP208+BT208+BV208,0)</f>
        <v>0</v>
      </c>
      <c r="BX208" s="1"/>
      <c r="BY208" s="1"/>
      <c r="BZ208" s="1"/>
      <c r="CA208" s="1"/>
      <c r="CB208" s="1"/>
      <c r="CC208" s="1"/>
      <c r="CD208" s="1"/>
      <c r="CE208" s="1"/>
      <c r="CF208" s="1"/>
      <c r="CG208" s="1"/>
    </row>
    <row r="209" spans="1:85" ht="15.75">
      <c r="A209" s="109"/>
      <c r="B209" s="110"/>
      <c r="C209" s="111"/>
      <c r="D209" s="112" t="s">
        <v>251</v>
      </c>
      <c r="E209" s="58">
        <f t="shared" ref="E209:H209" si="937">SUM(E210:E215)</f>
        <v>5000</v>
      </c>
      <c r="F209" s="58">
        <f t="shared" si="937"/>
        <v>0</v>
      </c>
      <c r="G209" s="58">
        <f t="shared" si="937"/>
        <v>5000</v>
      </c>
      <c r="H209" s="58">
        <f t="shared" si="937"/>
        <v>0</v>
      </c>
      <c r="I209" s="60">
        <f t="shared" si="723"/>
        <v>0.12479999999999998</v>
      </c>
      <c r="J209" s="60">
        <f t="shared" si="724"/>
        <v>0.12479999999999999</v>
      </c>
      <c r="K209" s="58">
        <f t="shared" ref="K209:W209" si="938">SUM(K210:K215)</f>
        <v>623.99999999999989</v>
      </c>
      <c r="L209" s="58">
        <f t="shared" si="938"/>
        <v>18841</v>
      </c>
      <c r="M209" s="58">
        <f t="shared" si="938"/>
        <v>0</v>
      </c>
      <c r="N209" s="58">
        <f t="shared" si="938"/>
        <v>0</v>
      </c>
      <c r="O209" s="58">
        <f t="shared" si="938"/>
        <v>624</v>
      </c>
      <c r="P209" s="58">
        <f t="shared" si="938"/>
        <v>17566</v>
      </c>
      <c r="Q209" s="58">
        <f t="shared" si="938"/>
        <v>0</v>
      </c>
      <c r="R209" s="58">
        <f t="shared" si="938"/>
        <v>624</v>
      </c>
      <c r="S209" s="58">
        <f t="shared" si="938"/>
        <v>17566</v>
      </c>
      <c r="T209" s="58">
        <f t="shared" si="938"/>
        <v>0</v>
      </c>
      <c r="U209" s="58">
        <f t="shared" si="938"/>
        <v>0</v>
      </c>
      <c r="V209" s="58">
        <f t="shared" si="938"/>
        <v>1275</v>
      </c>
      <c r="W209" s="58">
        <f t="shared" si="938"/>
        <v>0</v>
      </c>
      <c r="X209" s="63">
        <f t="shared" ref="X209:Y209" si="939">IF(O209&gt;0,O209/K209,0)</f>
        <v>1.0000000000000002</v>
      </c>
      <c r="Y209" s="63">
        <f t="shared" si="939"/>
        <v>0.93232843267342502</v>
      </c>
      <c r="Z209" s="63">
        <f t="shared" si="720"/>
        <v>0</v>
      </c>
      <c r="AA209" s="58">
        <f t="shared" ref="AA209:BW209" si="940">SUM(AA210:AA215)</f>
        <v>0</v>
      </c>
      <c r="AB209" s="58">
        <f t="shared" si="940"/>
        <v>1750</v>
      </c>
      <c r="AC209" s="58">
        <f t="shared" si="940"/>
        <v>0</v>
      </c>
      <c r="AD209" s="58">
        <f t="shared" si="940"/>
        <v>0</v>
      </c>
      <c r="AE209" s="58">
        <f t="shared" si="940"/>
        <v>324</v>
      </c>
      <c r="AF209" s="58">
        <f t="shared" si="940"/>
        <v>0</v>
      </c>
      <c r="AG209" s="58">
        <f t="shared" si="940"/>
        <v>0</v>
      </c>
      <c r="AH209" s="58">
        <f t="shared" si="940"/>
        <v>0</v>
      </c>
      <c r="AI209" s="58">
        <f t="shared" si="940"/>
        <v>0</v>
      </c>
      <c r="AJ209" s="58">
        <f t="shared" si="940"/>
        <v>0</v>
      </c>
      <c r="AK209" s="58">
        <f t="shared" si="940"/>
        <v>0</v>
      </c>
      <c r="AL209" s="58">
        <f t="shared" si="940"/>
        <v>0</v>
      </c>
      <c r="AM209" s="58">
        <f t="shared" si="940"/>
        <v>0</v>
      </c>
      <c r="AN209" s="58">
        <f t="shared" si="940"/>
        <v>0</v>
      </c>
      <c r="AO209" s="58">
        <f t="shared" si="940"/>
        <v>0</v>
      </c>
      <c r="AP209" s="58">
        <f t="shared" si="940"/>
        <v>0</v>
      </c>
      <c r="AQ209" s="58">
        <f t="shared" si="940"/>
        <v>3392</v>
      </c>
      <c r="AR209" s="58">
        <f t="shared" si="940"/>
        <v>0</v>
      </c>
      <c r="AS209" s="58">
        <f t="shared" si="940"/>
        <v>0</v>
      </c>
      <c r="AT209" s="58">
        <f t="shared" si="940"/>
        <v>12100</v>
      </c>
      <c r="AU209" s="58">
        <f t="shared" si="940"/>
        <v>0</v>
      </c>
      <c r="AV209" s="58">
        <f t="shared" si="940"/>
        <v>0</v>
      </c>
      <c r="AW209" s="58">
        <f t="shared" si="940"/>
        <v>0</v>
      </c>
      <c r="AX209" s="58">
        <f t="shared" si="940"/>
        <v>0</v>
      </c>
      <c r="AY209" s="58">
        <f t="shared" si="940"/>
        <v>144</v>
      </c>
      <c r="AZ209" s="58">
        <f t="shared" si="940"/>
        <v>0</v>
      </c>
      <c r="BA209" s="58">
        <f t="shared" si="940"/>
        <v>0</v>
      </c>
      <c r="BB209" s="58">
        <f t="shared" si="940"/>
        <v>0</v>
      </c>
      <c r="BC209" s="58">
        <f t="shared" si="940"/>
        <v>0</v>
      </c>
      <c r="BD209" s="58">
        <f t="shared" si="940"/>
        <v>0</v>
      </c>
      <c r="BE209" s="58">
        <f t="shared" si="940"/>
        <v>0</v>
      </c>
      <c r="BF209" s="58">
        <f t="shared" si="940"/>
        <v>0</v>
      </c>
      <c r="BG209" s="58">
        <f t="shared" si="940"/>
        <v>0</v>
      </c>
      <c r="BH209" s="58">
        <f t="shared" si="940"/>
        <v>480</v>
      </c>
      <c r="BI209" s="58">
        <f t="shared" si="940"/>
        <v>0</v>
      </c>
      <c r="BJ209" s="58">
        <f t="shared" si="940"/>
        <v>0</v>
      </c>
      <c r="BK209" s="58">
        <f t="shared" si="940"/>
        <v>624</v>
      </c>
      <c r="BL209" s="58">
        <f t="shared" si="940"/>
        <v>17566</v>
      </c>
      <c r="BM209" s="58">
        <f t="shared" si="940"/>
        <v>0</v>
      </c>
      <c r="BN209" s="58">
        <f t="shared" si="940"/>
        <v>0</v>
      </c>
      <c r="BO209" s="58">
        <f t="shared" si="940"/>
        <v>0</v>
      </c>
      <c r="BP209" s="58">
        <f t="shared" si="940"/>
        <v>0</v>
      </c>
      <c r="BQ209" s="58">
        <f t="shared" si="940"/>
        <v>0</v>
      </c>
      <c r="BR209" s="58">
        <f t="shared" si="940"/>
        <v>0</v>
      </c>
      <c r="BS209" s="58">
        <f t="shared" si="940"/>
        <v>0</v>
      </c>
      <c r="BT209" s="58">
        <f t="shared" si="940"/>
        <v>1275</v>
      </c>
      <c r="BU209" s="58">
        <f t="shared" si="940"/>
        <v>0</v>
      </c>
      <c r="BV209" s="58">
        <f t="shared" si="940"/>
        <v>0</v>
      </c>
      <c r="BW209" s="58">
        <f t="shared" si="940"/>
        <v>1275</v>
      </c>
      <c r="BX209" s="65"/>
      <c r="BY209" s="65"/>
      <c r="BZ209" s="65"/>
      <c r="CA209" s="65"/>
      <c r="CB209" s="65"/>
      <c r="CC209" s="65"/>
      <c r="CD209" s="65"/>
      <c r="CE209" s="65"/>
      <c r="CF209" s="65"/>
      <c r="CG209" s="65"/>
    </row>
    <row r="210" spans="1:85" ht="15.75" customHeight="1">
      <c r="A210" s="183" t="s">
        <v>461</v>
      </c>
      <c r="B210" s="114"/>
      <c r="C210" s="68" t="s">
        <v>304</v>
      </c>
      <c r="D210" s="173" t="s">
        <v>462</v>
      </c>
      <c r="E210" s="70">
        <v>5000</v>
      </c>
      <c r="F210" s="71"/>
      <c r="G210" s="71">
        <f t="shared" ref="G210:G215" si="941">E210-F210</f>
        <v>5000</v>
      </c>
      <c r="H210" s="70"/>
      <c r="I210" s="72">
        <f t="shared" si="723"/>
        <v>0.12479999999999998</v>
      </c>
      <c r="J210" s="72">
        <f t="shared" si="724"/>
        <v>0.12479999999999999</v>
      </c>
      <c r="K210" s="231">
        <f>2369-1744.89-0.11</f>
        <v>623.99999999999989</v>
      </c>
      <c r="L210" s="81"/>
      <c r="M210" s="75"/>
      <c r="N210" s="76"/>
      <c r="O210" s="77">
        <f t="shared" ref="O210:Q210" si="942">AA210+AD210+AG210+AJ210+AM210+AP210+AS210+AV210+AY210+BB210+BE210+BH210</f>
        <v>624</v>
      </c>
      <c r="P210" s="77">
        <f t="shared" si="942"/>
        <v>0</v>
      </c>
      <c r="Q210" s="77">
        <f t="shared" si="942"/>
        <v>0</v>
      </c>
      <c r="R210" s="77">
        <f t="shared" ref="R210:T210" si="943">IF(BK210=0,SUM(AA210+AD210+AG210+AJ210+AM210+AP210+AS210+AV210+AY210+BB210+BE210+BH210),BK210)</f>
        <v>624</v>
      </c>
      <c r="S210" s="77">
        <f t="shared" si="943"/>
        <v>0</v>
      </c>
      <c r="T210" s="77">
        <f t="shared" si="943"/>
        <v>0</v>
      </c>
      <c r="U210" s="78">
        <f t="shared" ref="U210:U215" si="944">K210-O210</f>
        <v>0</v>
      </c>
      <c r="V210" s="79">
        <f t="shared" ref="V210:V215" si="945">L210-M210-S210</f>
        <v>0</v>
      </c>
      <c r="W210" s="79">
        <f t="shared" ref="W210:W215" si="946">N210-Q210</f>
        <v>0</v>
      </c>
      <c r="X210" s="80">
        <f t="shared" ref="X210:Y210" si="947">IF(O210&gt;0,O210/K210,0)</f>
        <v>1.0000000000000002</v>
      </c>
      <c r="Y210" s="80">
        <f t="shared" si="947"/>
        <v>0</v>
      </c>
      <c r="Z210" s="80">
        <f t="shared" si="720"/>
        <v>0</v>
      </c>
      <c r="AA210" s="81"/>
      <c r="AB210" s="81"/>
      <c r="AC210" s="81"/>
      <c r="AD210" s="81"/>
      <c r="AE210" s="83"/>
      <c r="AF210" s="83"/>
      <c r="AG210" s="83"/>
      <c r="AH210" s="83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81">
        <f>144</f>
        <v>144</v>
      </c>
      <c r="AZ210" s="81"/>
      <c r="BA210" s="81"/>
      <c r="BB210" s="81"/>
      <c r="BC210" s="81"/>
      <c r="BD210" s="81"/>
      <c r="BE210" s="81"/>
      <c r="BF210" s="81"/>
      <c r="BG210" s="81"/>
      <c r="BH210" s="81">
        <f>480</f>
        <v>480</v>
      </c>
      <c r="BI210" s="81"/>
      <c r="BJ210" s="81"/>
      <c r="BK210" s="241">
        <v>624</v>
      </c>
      <c r="BL210" s="241">
        <v>0</v>
      </c>
      <c r="BM210" s="241">
        <v>0</v>
      </c>
      <c r="BN210" s="81">
        <f t="shared" ref="BN210:BN215" si="948">IF(O210-BK210&gt;0,O210-BK210,0)</f>
        <v>0</v>
      </c>
      <c r="BO210" s="75">
        <f t="shared" ref="BO210:BO215" si="949">IF(Q210-BM210&gt;0,Q210-BM210,0)</f>
        <v>0</v>
      </c>
      <c r="BP210" s="81">
        <f t="shared" ref="BP210:BP215" si="950">IF(BN210+BO210&gt;0,BN210+BO210,0)</f>
        <v>0</v>
      </c>
      <c r="BQ210" s="81">
        <f t="shared" ref="BQ210:BQ215" si="951">IF(U210=0,0,U210)</f>
        <v>0</v>
      </c>
      <c r="BR210" s="81">
        <f t="shared" ref="BR210:BR215" si="952">IF(W210=0,0,W210)</f>
        <v>0</v>
      </c>
      <c r="BS210" s="81">
        <f t="shared" ref="BS210:BS215" si="953">IF(BQ210+BR210&gt;0,BQ210+BR210,0)</f>
        <v>0</v>
      </c>
      <c r="BT210" s="81">
        <f t="shared" ref="BT210:BT215" si="954">IF(V210&gt;0,V210,0)</f>
        <v>0</v>
      </c>
      <c r="BU210" s="81">
        <f t="shared" ref="BU210:BU215" si="955">IF(BP210=0,0,BP210)</f>
        <v>0</v>
      </c>
      <c r="BV210" s="81">
        <f t="shared" ref="BV210:BV215" si="956">IF(BS210=0,0,BS210)</f>
        <v>0</v>
      </c>
      <c r="BW210" s="81">
        <f t="shared" ref="BW210:BW215" si="957">IF(BP210+BT210+BV210&gt;0,BP210+BT210+BV210,0)</f>
        <v>0</v>
      </c>
      <c r="BX210" s="1"/>
      <c r="BY210" s="1"/>
      <c r="BZ210" s="1"/>
      <c r="CA210" s="1"/>
      <c r="CB210" s="1"/>
      <c r="CC210" s="1"/>
      <c r="CD210" s="1"/>
      <c r="CE210" s="1"/>
      <c r="CF210" s="1"/>
      <c r="CG210" s="1"/>
    </row>
    <row r="211" spans="1:85" ht="15.75" customHeight="1">
      <c r="A211" s="145"/>
      <c r="B211" s="132" t="s">
        <v>463</v>
      </c>
      <c r="C211" s="86" t="s">
        <v>304</v>
      </c>
      <c r="D211" s="87" t="s">
        <v>464</v>
      </c>
      <c r="E211" s="70"/>
      <c r="F211" s="71"/>
      <c r="G211" s="71">
        <f t="shared" si="941"/>
        <v>0</v>
      </c>
      <c r="H211" s="70"/>
      <c r="I211" s="72">
        <f t="shared" si="723"/>
        <v>0</v>
      </c>
      <c r="J211" s="72">
        <f t="shared" si="724"/>
        <v>0</v>
      </c>
      <c r="K211" s="252"/>
      <c r="L211" s="81">
        <v>12100</v>
      </c>
      <c r="M211" s="75"/>
      <c r="N211" s="76"/>
      <c r="O211" s="77">
        <f t="shared" ref="O211:Q211" si="958">AA211+AD211+AG211+AJ211+AM211+AP211+AS211+AV211+AY211+BB211+BE211+BH211</f>
        <v>0</v>
      </c>
      <c r="P211" s="77">
        <f t="shared" si="958"/>
        <v>12100</v>
      </c>
      <c r="Q211" s="77">
        <f t="shared" si="958"/>
        <v>0</v>
      </c>
      <c r="R211" s="77">
        <f t="shared" ref="R211:T211" si="959">IF(BK211=0,SUM(AA211+AD211+AG211+AJ211+AM211+AP211+AS211+AV211+AY211+BB211+BE211+BH211),BK211)</f>
        <v>0</v>
      </c>
      <c r="S211" s="77">
        <f t="shared" si="959"/>
        <v>12100</v>
      </c>
      <c r="T211" s="77">
        <f t="shared" si="959"/>
        <v>0</v>
      </c>
      <c r="U211" s="79">
        <f t="shared" si="944"/>
        <v>0</v>
      </c>
      <c r="V211" s="79">
        <f t="shared" si="945"/>
        <v>0</v>
      </c>
      <c r="W211" s="79">
        <f t="shared" si="946"/>
        <v>0</v>
      </c>
      <c r="X211" s="80">
        <f t="shared" ref="X211:Y211" si="960">IF(O211&gt;0,O211/K211,0)</f>
        <v>0</v>
      </c>
      <c r="Y211" s="80">
        <f t="shared" si="960"/>
        <v>1</v>
      </c>
      <c r="Z211" s="80">
        <f t="shared" si="720"/>
        <v>0</v>
      </c>
      <c r="AA211" s="81"/>
      <c r="AB211" s="81"/>
      <c r="AC211" s="81"/>
      <c r="AD211" s="81"/>
      <c r="AE211" s="83"/>
      <c r="AF211" s="83"/>
      <c r="AG211" s="83"/>
      <c r="AH211" s="83"/>
      <c r="AI211" s="81"/>
      <c r="AJ211" s="81"/>
      <c r="AK211" s="81"/>
      <c r="AL211" s="81"/>
      <c r="AM211" s="81"/>
      <c r="AN211" s="81"/>
      <c r="AO211" s="81"/>
      <c r="AP211" s="81"/>
      <c r="AQ211" s="81"/>
      <c r="AR211" s="81"/>
      <c r="AS211" s="81"/>
      <c r="AT211" s="82">
        <v>12100</v>
      </c>
      <c r="AU211" s="81"/>
      <c r="AV211" s="81"/>
      <c r="AW211" s="81"/>
      <c r="AX211" s="81"/>
      <c r="AY211" s="81"/>
      <c r="AZ211" s="81"/>
      <c r="BA211" s="81"/>
      <c r="BB211" s="81"/>
      <c r="BC211" s="81"/>
      <c r="BD211" s="81"/>
      <c r="BE211" s="81"/>
      <c r="BF211" s="81"/>
      <c r="BG211" s="81"/>
      <c r="BH211" s="81"/>
      <c r="BI211" s="81"/>
      <c r="BJ211" s="81"/>
      <c r="BK211" s="241">
        <v>0</v>
      </c>
      <c r="BL211" s="241">
        <v>12100</v>
      </c>
      <c r="BM211" s="241">
        <v>0</v>
      </c>
      <c r="BN211" s="81">
        <f t="shared" si="948"/>
        <v>0</v>
      </c>
      <c r="BO211" s="75">
        <f t="shared" si="949"/>
        <v>0</v>
      </c>
      <c r="BP211" s="81">
        <f t="shared" si="950"/>
        <v>0</v>
      </c>
      <c r="BQ211" s="81">
        <f t="shared" si="951"/>
        <v>0</v>
      </c>
      <c r="BR211" s="81">
        <f t="shared" si="952"/>
        <v>0</v>
      </c>
      <c r="BS211" s="81">
        <f t="shared" si="953"/>
        <v>0</v>
      </c>
      <c r="BT211" s="81">
        <f t="shared" si="954"/>
        <v>0</v>
      </c>
      <c r="BU211" s="81">
        <f t="shared" si="955"/>
        <v>0</v>
      </c>
      <c r="BV211" s="81">
        <f t="shared" si="956"/>
        <v>0</v>
      </c>
      <c r="BW211" s="81">
        <f t="shared" si="957"/>
        <v>0</v>
      </c>
      <c r="BX211" s="1"/>
      <c r="BY211" s="1"/>
      <c r="BZ211" s="1"/>
      <c r="CA211" s="1"/>
      <c r="CB211" s="1"/>
      <c r="CC211" s="1"/>
      <c r="CD211" s="1"/>
      <c r="CE211" s="1"/>
      <c r="CF211" s="1"/>
      <c r="CG211" s="1"/>
    </row>
    <row r="212" spans="1:85" ht="15.75" customHeight="1">
      <c r="A212" s="145"/>
      <c r="B212" s="132" t="s">
        <v>465</v>
      </c>
      <c r="C212" s="86" t="s">
        <v>304</v>
      </c>
      <c r="D212" s="87" t="s">
        <v>466</v>
      </c>
      <c r="E212" s="70"/>
      <c r="F212" s="71"/>
      <c r="G212" s="71">
        <f t="shared" si="941"/>
        <v>0</v>
      </c>
      <c r="H212" s="70"/>
      <c r="I212" s="72">
        <f t="shared" si="723"/>
        <v>0</v>
      </c>
      <c r="J212" s="72">
        <f t="shared" si="724"/>
        <v>0</v>
      </c>
      <c r="K212" s="252"/>
      <c r="L212" s="81">
        <v>1000</v>
      </c>
      <c r="M212" s="75"/>
      <c r="N212" s="76"/>
      <c r="O212" s="77">
        <f t="shared" ref="O212:Q212" si="961">AA212+AD212+AG212+AJ212+AM212+AP212+AS212+AV212+AY212+BB212+BE212+BH212</f>
        <v>0</v>
      </c>
      <c r="P212" s="77">
        <f t="shared" si="961"/>
        <v>1000</v>
      </c>
      <c r="Q212" s="77">
        <f t="shared" si="961"/>
        <v>0</v>
      </c>
      <c r="R212" s="77">
        <f t="shared" ref="R212:T212" si="962">IF(BK212=0,SUM(AA212+AD212+AG212+AJ212+AM212+AP212+AS212+AV212+AY212+BB212+BE212+BH212),BK212)</f>
        <v>0</v>
      </c>
      <c r="S212" s="77">
        <f t="shared" si="962"/>
        <v>1000</v>
      </c>
      <c r="T212" s="77">
        <f t="shared" si="962"/>
        <v>0</v>
      </c>
      <c r="U212" s="79">
        <f t="shared" si="944"/>
        <v>0</v>
      </c>
      <c r="V212" s="79">
        <f t="shared" si="945"/>
        <v>0</v>
      </c>
      <c r="W212" s="79">
        <f t="shared" si="946"/>
        <v>0</v>
      </c>
      <c r="X212" s="80">
        <f t="shared" ref="X212:Y212" si="963">IF(O212&gt;0,O212/K212,0)</f>
        <v>0</v>
      </c>
      <c r="Y212" s="80">
        <f t="shared" si="963"/>
        <v>1</v>
      </c>
      <c r="Z212" s="80">
        <f t="shared" si="720"/>
        <v>0</v>
      </c>
      <c r="AA212" s="81"/>
      <c r="AB212" s="81"/>
      <c r="AC212" s="81"/>
      <c r="AD212" s="81"/>
      <c r="AE212" s="128">
        <v>324</v>
      </c>
      <c r="AF212" s="83"/>
      <c r="AG212" s="83"/>
      <c r="AH212" s="83"/>
      <c r="AI212" s="81"/>
      <c r="AJ212" s="81"/>
      <c r="AK212" s="81"/>
      <c r="AL212" s="81"/>
      <c r="AM212" s="81"/>
      <c r="AN212" s="81"/>
      <c r="AO212" s="81"/>
      <c r="AP212" s="81"/>
      <c r="AQ212" s="82">
        <v>676</v>
      </c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241">
        <v>0</v>
      </c>
      <c r="BL212" s="241">
        <v>1000</v>
      </c>
      <c r="BM212" s="241">
        <v>0</v>
      </c>
      <c r="BN212" s="81">
        <f t="shared" si="948"/>
        <v>0</v>
      </c>
      <c r="BO212" s="75">
        <f t="shared" si="949"/>
        <v>0</v>
      </c>
      <c r="BP212" s="81">
        <f t="shared" si="950"/>
        <v>0</v>
      </c>
      <c r="BQ212" s="81">
        <f t="shared" si="951"/>
        <v>0</v>
      </c>
      <c r="BR212" s="81">
        <f t="shared" si="952"/>
        <v>0</v>
      </c>
      <c r="BS212" s="81">
        <f t="shared" si="953"/>
        <v>0</v>
      </c>
      <c r="BT212" s="81">
        <f t="shared" si="954"/>
        <v>0</v>
      </c>
      <c r="BU212" s="81">
        <f t="shared" si="955"/>
        <v>0</v>
      </c>
      <c r="BV212" s="81">
        <f t="shared" si="956"/>
        <v>0</v>
      </c>
      <c r="BW212" s="81">
        <f t="shared" si="957"/>
        <v>0</v>
      </c>
      <c r="BX212" s="1"/>
      <c r="BY212" s="1"/>
      <c r="BZ212" s="1"/>
      <c r="CA212" s="1"/>
      <c r="CB212" s="1"/>
      <c r="CC212" s="1"/>
      <c r="CD212" s="1"/>
      <c r="CE212" s="1"/>
      <c r="CF212" s="1"/>
      <c r="CG212" s="1"/>
    </row>
    <row r="213" spans="1:85" ht="15.75" customHeight="1">
      <c r="A213" s="145"/>
      <c r="B213" s="132" t="s">
        <v>467</v>
      </c>
      <c r="C213" s="86" t="s">
        <v>304</v>
      </c>
      <c r="D213" s="87" t="s">
        <v>468</v>
      </c>
      <c r="E213" s="70"/>
      <c r="F213" s="71"/>
      <c r="G213" s="71">
        <f t="shared" si="941"/>
        <v>0</v>
      </c>
      <c r="H213" s="70"/>
      <c r="I213" s="72">
        <f t="shared" si="723"/>
        <v>0</v>
      </c>
      <c r="J213" s="72">
        <f t="shared" si="724"/>
        <v>0</v>
      </c>
      <c r="K213" s="252"/>
      <c r="L213" s="81">
        <v>3070</v>
      </c>
      <c r="M213" s="75"/>
      <c r="N213" s="76"/>
      <c r="O213" s="77">
        <f t="shared" ref="O213:Q213" si="964">AA213+AD213+AG213+AJ213+AM213+AP213+AS213+AV213+AY213+BB213+BE213+BH213</f>
        <v>0</v>
      </c>
      <c r="P213" s="77">
        <f t="shared" si="964"/>
        <v>3070</v>
      </c>
      <c r="Q213" s="77">
        <f t="shared" si="964"/>
        <v>0</v>
      </c>
      <c r="R213" s="77">
        <f t="shared" ref="R213:T213" si="965">IF(BK213=0,SUM(AA213+AD213+AG213+AJ213+AM213+AP213+AS213+AV213+AY213+BB213+BE213+BH213),BK213)</f>
        <v>0</v>
      </c>
      <c r="S213" s="77">
        <f t="shared" si="965"/>
        <v>3070</v>
      </c>
      <c r="T213" s="77">
        <f t="shared" si="965"/>
        <v>0</v>
      </c>
      <c r="U213" s="79">
        <f t="shared" si="944"/>
        <v>0</v>
      </c>
      <c r="V213" s="79">
        <f t="shared" si="945"/>
        <v>0</v>
      </c>
      <c r="W213" s="79">
        <f t="shared" si="946"/>
        <v>0</v>
      </c>
      <c r="X213" s="80">
        <f t="shared" ref="X213:Y213" si="966">IF(O213&gt;0,O213/K213,0)</f>
        <v>0</v>
      </c>
      <c r="Y213" s="80">
        <f t="shared" si="966"/>
        <v>1</v>
      </c>
      <c r="Z213" s="80">
        <f t="shared" si="720"/>
        <v>0</v>
      </c>
      <c r="AA213" s="81"/>
      <c r="AB213" s="82">
        <v>1750</v>
      </c>
      <c r="AC213" s="81"/>
      <c r="AD213" s="81"/>
      <c r="AE213" s="83"/>
      <c r="AF213" s="83"/>
      <c r="AG213" s="83"/>
      <c r="AH213" s="83"/>
      <c r="AI213" s="81"/>
      <c r="AJ213" s="81"/>
      <c r="AK213" s="81"/>
      <c r="AL213" s="81"/>
      <c r="AM213" s="81"/>
      <c r="AN213" s="81"/>
      <c r="AO213" s="81"/>
      <c r="AP213" s="81"/>
      <c r="AQ213" s="82">
        <v>1320</v>
      </c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1"/>
      <c r="BE213" s="81"/>
      <c r="BF213" s="81"/>
      <c r="BG213" s="81"/>
      <c r="BH213" s="81"/>
      <c r="BI213" s="81"/>
      <c r="BJ213" s="81"/>
      <c r="BK213" s="241">
        <v>0</v>
      </c>
      <c r="BL213" s="241">
        <v>3070</v>
      </c>
      <c r="BM213" s="241">
        <v>0</v>
      </c>
      <c r="BN213" s="81">
        <f t="shared" si="948"/>
        <v>0</v>
      </c>
      <c r="BO213" s="75">
        <f t="shared" si="949"/>
        <v>0</v>
      </c>
      <c r="BP213" s="81">
        <f t="shared" si="950"/>
        <v>0</v>
      </c>
      <c r="BQ213" s="81">
        <f t="shared" si="951"/>
        <v>0</v>
      </c>
      <c r="BR213" s="81">
        <f t="shared" si="952"/>
        <v>0</v>
      </c>
      <c r="BS213" s="81">
        <f t="shared" si="953"/>
        <v>0</v>
      </c>
      <c r="BT213" s="81">
        <f t="shared" si="954"/>
        <v>0</v>
      </c>
      <c r="BU213" s="81">
        <f t="shared" si="955"/>
        <v>0</v>
      </c>
      <c r="BV213" s="81">
        <f t="shared" si="956"/>
        <v>0</v>
      </c>
      <c r="BW213" s="81">
        <f t="shared" si="957"/>
        <v>0</v>
      </c>
      <c r="BX213" s="1"/>
      <c r="BY213" s="1"/>
      <c r="BZ213" s="1"/>
      <c r="CA213" s="1"/>
      <c r="CB213" s="1"/>
      <c r="CC213" s="1"/>
      <c r="CD213" s="1"/>
      <c r="CE213" s="1"/>
      <c r="CF213" s="1"/>
      <c r="CG213" s="1"/>
    </row>
    <row r="214" spans="1:85" ht="15.75" customHeight="1">
      <c r="A214" s="145"/>
      <c r="B214" s="132" t="s">
        <v>469</v>
      </c>
      <c r="C214" s="86" t="s">
        <v>304</v>
      </c>
      <c r="D214" s="87" t="s">
        <v>470</v>
      </c>
      <c r="E214" s="70"/>
      <c r="F214" s="71"/>
      <c r="G214" s="71">
        <f t="shared" si="941"/>
        <v>0</v>
      </c>
      <c r="H214" s="70"/>
      <c r="I214" s="72">
        <f t="shared" si="723"/>
        <v>0</v>
      </c>
      <c r="J214" s="72">
        <f t="shared" si="724"/>
        <v>0</v>
      </c>
      <c r="K214" s="252"/>
      <c r="L214" s="81">
        <v>1275</v>
      </c>
      <c r="M214" s="75"/>
      <c r="N214" s="76"/>
      <c r="O214" s="77">
        <f t="shared" ref="O214:Q214" si="967">AA214+AD214+AG214+AJ214+AM214+AP214+AS214+AV214+AY214+BB214+BE214+BH214</f>
        <v>0</v>
      </c>
      <c r="P214" s="77">
        <f t="shared" si="967"/>
        <v>0</v>
      </c>
      <c r="Q214" s="77">
        <f t="shared" si="967"/>
        <v>0</v>
      </c>
      <c r="R214" s="77">
        <f t="shared" ref="R214:T214" si="968">IF(BK214=0,SUM(AA214+AD214+AG214+AJ214+AM214+AP214+AS214+AV214+AY214+BB214+BE214+BH214),BK214)</f>
        <v>0</v>
      </c>
      <c r="S214" s="77">
        <f t="shared" si="968"/>
        <v>0</v>
      </c>
      <c r="T214" s="77">
        <f t="shared" si="968"/>
        <v>0</v>
      </c>
      <c r="U214" s="79">
        <f t="shared" si="944"/>
        <v>0</v>
      </c>
      <c r="V214" s="79">
        <f t="shared" si="945"/>
        <v>1275</v>
      </c>
      <c r="W214" s="79">
        <f t="shared" si="946"/>
        <v>0</v>
      </c>
      <c r="X214" s="80">
        <f t="shared" ref="X214:Y214" si="969">IF(O214&gt;0,O214/K214,0)</f>
        <v>0</v>
      </c>
      <c r="Y214" s="80">
        <f t="shared" si="969"/>
        <v>0</v>
      </c>
      <c r="Z214" s="80">
        <f t="shared" si="720"/>
        <v>0</v>
      </c>
      <c r="AA214" s="81"/>
      <c r="AB214" s="81"/>
      <c r="AC214" s="81"/>
      <c r="AD214" s="81"/>
      <c r="AE214" s="83"/>
      <c r="AF214" s="83"/>
      <c r="AG214" s="83"/>
      <c r="AH214" s="83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1"/>
      <c r="BE214" s="81"/>
      <c r="BF214" s="81"/>
      <c r="BG214" s="81"/>
      <c r="BH214" s="81"/>
      <c r="BI214" s="81"/>
      <c r="BJ214" s="81"/>
      <c r="BK214" s="241">
        <v>0</v>
      </c>
      <c r="BL214" s="241">
        <v>0</v>
      </c>
      <c r="BM214" s="241">
        <v>0</v>
      </c>
      <c r="BN214" s="81">
        <f t="shared" si="948"/>
        <v>0</v>
      </c>
      <c r="BO214" s="75">
        <f t="shared" si="949"/>
        <v>0</v>
      </c>
      <c r="BP214" s="81">
        <f t="shared" si="950"/>
        <v>0</v>
      </c>
      <c r="BQ214" s="81">
        <f t="shared" si="951"/>
        <v>0</v>
      </c>
      <c r="BR214" s="81">
        <f t="shared" si="952"/>
        <v>0</v>
      </c>
      <c r="BS214" s="81">
        <f t="shared" si="953"/>
        <v>0</v>
      </c>
      <c r="BT214" s="138">
        <f t="shared" si="954"/>
        <v>1275</v>
      </c>
      <c r="BU214" s="81">
        <f t="shared" si="955"/>
        <v>0</v>
      </c>
      <c r="BV214" s="81">
        <f t="shared" si="956"/>
        <v>0</v>
      </c>
      <c r="BW214" s="81">
        <f t="shared" si="957"/>
        <v>1275</v>
      </c>
      <c r="BX214" s="1"/>
      <c r="BY214" s="1"/>
      <c r="BZ214" s="1"/>
      <c r="CA214" s="1"/>
      <c r="CB214" s="1"/>
      <c r="CC214" s="1"/>
      <c r="CD214" s="1"/>
      <c r="CE214" s="1"/>
      <c r="CF214" s="1"/>
      <c r="CG214" s="1"/>
    </row>
    <row r="215" spans="1:85" ht="15.75" customHeight="1">
      <c r="A215" s="194"/>
      <c r="B215" s="142" t="s">
        <v>471</v>
      </c>
      <c r="C215" s="91" t="s">
        <v>304</v>
      </c>
      <c r="D215" s="92" t="s">
        <v>472</v>
      </c>
      <c r="E215" s="70"/>
      <c r="F215" s="71"/>
      <c r="G215" s="71">
        <f t="shared" si="941"/>
        <v>0</v>
      </c>
      <c r="H215" s="70"/>
      <c r="I215" s="72">
        <f t="shared" si="723"/>
        <v>0</v>
      </c>
      <c r="J215" s="72">
        <f t="shared" si="724"/>
        <v>0</v>
      </c>
      <c r="K215" s="252"/>
      <c r="L215" s="81">
        <v>1396</v>
      </c>
      <c r="M215" s="75"/>
      <c r="N215" s="76"/>
      <c r="O215" s="77">
        <f t="shared" ref="O215:Q215" si="970">AA215+AD215+AG215+AJ215+AM215+AP215+AS215+AV215+AY215+BB215+BE215+BH215</f>
        <v>0</v>
      </c>
      <c r="P215" s="77">
        <f t="shared" si="970"/>
        <v>1396</v>
      </c>
      <c r="Q215" s="77">
        <f t="shared" si="970"/>
        <v>0</v>
      </c>
      <c r="R215" s="77">
        <f t="shared" ref="R215:T215" si="971">IF(BK215=0,SUM(AA215+AD215+AG215+AJ215+AM215+AP215+AS215+AV215+AY215+BB215+BE215+BH215),BK215)</f>
        <v>0</v>
      </c>
      <c r="S215" s="77">
        <f t="shared" si="971"/>
        <v>1396</v>
      </c>
      <c r="T215" s="77">
        <f t="shared" si="971"/>
        <v>0</v>
      </c>
      <c r="U215" s="79">
        <f t="shared" si="944"/>
        <v>0</v>
      </c>
      <c r="V215" s="79">
        <f t="shared" si="945"/>
        <v>0</v>
      </c>
      <c r="W215" s="79">
        <f t="shared" si="946"/>
        <v>0</v>
      </c>
      <c r="X215" s="80">
        <f t="shared" ref="X215:Y215" si="972">IF(O215&gt;0,O215/K215,0)</f>
        <v>0</v>
      </c>
      <c r="Y215" s="80">
        <f t="shared" si="972"/>
        <v>1</v>
      </c>
      <c r="Z215" s="80">
        <f t="shared" si="720"/>
        <v>0</v>
      </c>
      <c r="AA215" s="81"/>
      <c r="AB215" s="81"/>
      <c r="AC215" s="81"/>
      <c r="AD215" s="81"/>
      <c r="AE215" s="83"/>
      <c r="AF215" s="83"/>
      <c r="AG215" s="83"/>
      <c r="AH215" s="83"/>
      <c r="AI215" s="81"/>
      <c r="AJ215" s="81"/>
      <c r="AK215" s="81"/>
      <c r="AL215" s="81"/>
      <c r="AM215" s="81"/>
      <c r="AN215" s="81"/>
      <c r="AO215" s="81"/>
      <c r="AP215" s="81"/>
      <c r="AQ215" s="82">
        <v>1396</v>
      </c>
      <c r="AR215" s="81"/>
      <c r="AS215" s="81"/>
      <c r="AT215" s="81"/>
      <c r="AU215" s="81"/>
      <c r="AV215" s="81"/>
      <c r="AW215" s="81"/>
      <c r="AX215" s="81"/>
      <c r="AY215" s="81"/>
      <c r="AZ215" s="81"/>
      <c r="BA215" s="81"/>
      <c r="BB215" s="81"/>
      <c r="BC215" s="81"/>
      <c r="BD215" s="81"/>
      <c r="BE215" s="81"/>
      <c r="BF215" s="81"/>
      <c r="BG215" s="81"/>
      <c r="BH215" s="81"/>
      <c r="BI215" s="81"/>
      <c r="BJ215" s="81"/>
      <c r="BK215" s="241">
        <v>0</v>
      </c>
      <c r="BL215" s="241">
        <v>1396</v>
      </c>
      <c r="BM215" s="241">
        <v>0</v>
      </c>
      <c r="BN215" s="81">
        <f t="shared" si="948"/>
        <v>0</v>
      </c>
      <c r="BO215" s="75">
        <f t="shared" si="949"/>
        <v>0</v>
      </c>
      <c r="BP215" s="81">
        <f t="shared" si="950"/>
        <v>0</v>
      </c>
      <c r="BQ215" s="81">
        <f t="shared" si="951"/>
        <v>0</v>
      </c>
      <c r="BR215" s="81">
        <f t="shared" si="952"/>
        <v>0</v>
      </c>
      <c r="BS215" s="81">
        <f t="shared" si="953"/>
        <v>0</v>
      </c>
      <c r="BT215" s="81">
        <f t="shared" si="954"/>
        <v>0</v>
      </c>
      <c r="BU215" s="81">
        <f t="shared" si="955"/>
        <v>0</v>
      </c>
      <c r="BV215" s="81">
        <f t="shared" si="956"/>
        <v>0</v>
      </c>
      <c r="BW215" s="81">
        <f t="shared" si="957"/>
        <v>0</v>
      </c>
      <c r="BX215" s="1"/>
      <c r="BY215" s="1"/>
      <c r="BZ215" s="1"/>
      <c r="CA215" s="1"/>
      <c r="CB215" s="1"/>
      <c r="CC215" s="1"/>
      <c r="CD215" s="1"/>
      <c r="CE215" s="1"/>
      <c r="CF215" s="1"/>
      <c r="CG215" s="1"/>
    </row>
    <row r="216" spans="1:85" ht="15.75" customHeight="1">
      <c r="A216" s="100"/>
      <c r="B216" s="101"/>
      <c r="C216" s="102"/>
      <c r="D216" s="195" t="s">
        <v>473</v>
      </c>
      <c r="E216" s="104">
        <f t="shared" ref="E216:H216" si="973">E217+E237</f>
        <v>100000</v>
      </c>
      <c r="F216" s="104">
        <f t="shared" si="973"/>
        <v>0</v>
      </c>
      <c r="G216" s="104">
        <f t="shared" si="973"/>
        <v>100000</v>
      </c>
      <c r="H216" s="104">
        <f t="shared" si="973"/>
        <v>0</v>
      </c>
      <c r="I216" s="105">
        <f t="shared" si="723"/>
        <v>1.1390994999999999</v>
      </c>
      <c r="J216" s="105">
        <f t="shared" si="724"/>
        <v>0.9084139</v>
      </c>
      <c r="K216" s="104">
        <f t="shared" ref="K216:W216" si="974">K217+K237</f>
        <v>113909.95</v>
      </c>
      <c r="L216" s="104">
        <f t="shared" si="974"/>
        <v>43615.81</v>
      </c>
      <c r="M216" s="104">
        <f t="shared" si="974"/>
        <v>18800</v>
      </c>
      <c r="N216" s="104">
        <f t="shared" si="974"/>
        <v>0</v>
      </c>
      <c r="O216" s="104">
        <f t="shared" si="974"/>
        <v>90841.39</v>
      </c>
      <c r="P216" s="104">
        <f t="shared" si="974"/>
        <v>24815.81</v>
      </c>
      <c r="Q216" s="104">
        <f t="shared" si="974"/>
        <v>0</v>
      </c>
      <c r="R216" s="104">
        <f t="shared" si="974"/>
        <v>90841.39</v>
      </c>
      <c r="S216" s="104">
        <f t="shared" si="974"/>
        <v>24815.81</v>
      </c>
      <c r="T216" s="104">
        <f t="shared" si="974"/>
        <v>0</v>
      </c>
      <c r="U216" s="104">
        <f t="shared" si="974"/>
        <v>23068.560000000001</v>
      </c>
      <c r="V216" s="104">
        <f t="shared" si="974"/>
        <v>0</v>
      </c>
      <c r="W216" s="104">
        <f t="shared" si="974"/>
        <v>0</v>
      </c>
      <c r="X216" s="106">
        <f t="shared" ref="X216:Y216" si="975">IF(O216&gt;0,O216/K216,0)</f>
        <v>0.79748424084112057</v>
      </c>
      <c r="Y216" s="106">
        <f t="shared" si="975"/>
        <v>0.56896363956097573</v>
      </c>
      <c r="Z216" s="106">
        <f t="shared" si="720"/>
        <v>0</v>
      </c>
      <c r="AA216" s="104">
        <f t="shared" ref="AA216:BW216" si="976">AA217+AA237</f>
        <v>0</v>
      </c>
      <c r="AB216" s="104">
        <f t="shared" si="976"/>
        <v>0</v>
      </c>
      <c r="AC216" s="104">
        <f t="shared" si="976"/>
        <v>0</v>
      </c>
      <c r="AD216" s="104">
        <f t="shared" si="976"/>
        <v>8199.9</v>
      </c>
      <c r="AE216" s="104">
        <f t="shared" si="976"/>
        <v>15168.29</v>
      </c>
      <c r="AF216" s="104">
        <f t="shared" si="976"/>
        <v>0</v>
      </c>
      <c r="AG216" s="104">
        <f t="shared" si="976"/>
        <v>1587.98</v>
      </c>
      <c r="AH216" s="104">
        <f t="shared" si="976"/>
        <v>-4337.84</v>
      </c>
      <c r="AI216" s="104">
        <f t="shared" si="976"/>
        <v>0</v>
      </c>
      <c r="AJ216" s="104">
        <f t="shared" si="976"/>
        <v>10806.359999999999</v>
      </c>
      <c r="AK216" s="104">
        <f t="shared" si="976"/>
        <v>7976.24</v>
      </c>
      <c r="AL216" s="104">
        <f t="shared" si="976"/>
        <v>0</v>
      </c>
      <c r="AM216" s="104">
        <f t="shared" si="976"/>
        <v>9275.9</v>
      </c>
      <c r="AN216" s="104">
        <f t="shared" si="976"/>
        <v>1135.52</v>
      </c>
      <c r="AO216" s="104">
        <f t="shared" si="976"/>
        <v>0</v>
      </c>
      <c r="AP216" s="104">
        <f t="shared" si="976"/>
        <v>19866</v>
      </c>
      <c r="AQ216" s="104">
        <f t="shared" si="976"/>
        <v>554.52</v>
      </c>
      <c r="AR216" s="104">
        <f t="shared" si="976"/>
        <v>0</v>
      </c>
      <c r="AS216" s="104">
        <f t="shared" si="976"/>
        <v>6723.72</v>
      </c>
      <c r="AT216" s="104">
        <f t="shared" si="976"/>
        <v>554.52</v>
      </c>
      <c r="AU216" s="104">
        <f t="shared" si="976"/>
        <v>0</v>
      </c>
      <c r="AV216" s="104">
        <f t="shared" si="976"/>
        <v>6822.99</v>
      </c>
      <c r="AW216" s="104">
        <f t="shared" si="976"/>
        <v>2655.52</v>
      </c>
      <c r="AX216" s="104">
        <f t="shared" si="976"/>
        <v>0</v>
      </c>
      <c r="AY216" s="104">
        <f t="shared" si="976"/>
        <v>6226</v>
      </c>
      <c r="AZ216" s="104">
        <f t="shared" si="976"/>
        <v>554.52</v>
      </c>
      <c r="BA216" s="104">
        <f t="shared" si="976"/>
        <v>0</v>
      </c>
      <c r="BB216" s="104">
        <f t="shared" si="976"/>
        <v>3396</v>
      </c>
      <c r="BC216" s="104">
        <f t="shared" si="976"/>
        <v>554.52</v>
      </c>
      <c r="BD216" s="104">
        <f t="shared" si="976"/>
        <v>0</v>
      </c>
      <c r="BE216" s="104">
        <f t="shared" si="976"/>
        <v>3950.52</v>
      </c>
      <c r="BF216" s="104">
        <f t="shared" si="976"/>
        <v>0</v>
      </c>
      <c r="BG216" s="104">
        <f t="shared" si="976"/>
        <v>0</v>
      </c>
      <c r="BH216" s="104">
        <f t="shared" si="976"/>
        <v>13986.02</v>
      </c>
      <c r="BI216" s="104">
        <f t="shared" si="976"/>
        <v>0</v>
      </c>
      <c r="BJ216" s="104">
        <f t="shared" si="976"/>
        <v>0</v>
      </c>
      <c r="BK216" s="104">
        <f t="shared" si="976"/>
        <v>90841.39</v>
      </c>
      <c r="BL216" s="104">
        <f t="shared" si="976"/>
        <v>0</v>
      </c>
      <c r="BM216" s="104">
        <f t="shared" si="976"/>
        <v>0</v>
      </c>
      <c r="BN216" s="104">
        <f t="shared" si="976"/>
        <v>0</v>
      </c>
      <c r="BO216" s="104">
        <f t="shared" si="976"/>
        <v>0</v>
      </c>
      <c r="BP216" s="104">
        <f t="shared" si="976"/>
        <v>0</v>
      </c>
      <c r="BQ216" s="104">
        <f t="shared" si="976"/>
        <v>23068.560000000001</v>
      </c>
      <c r="BR216" s="104">
        <f t="shared" si="976"/>
        <v>0</v>
      </c>
      <c r="BS216" s="104">
        <f t="shared" si="976"/>
        <v>23068.560000000001</v>
      </c>
      <c r="BT216" s="104">
        <f t="shared" si="976"/>
        <v>0</v>
      </c>
      <c r="BU216" s="104">
        <f t="shared" si="976"/>
        <v>0</v>
      </c>
      <c r="BV216" s="104">
        <f t="shared" si="976"/>
        <v>23068.560000000001</v>
      </c>
      <c r="BW216" s="104">
        <f t="shared" si="976"/>
        <v>23068.560000000001</v>
      </c>
      <c r="BX216" s="1"/>
      <c r="BY216" s="1"/>
      <c r="BZ216" s="1"/>
      <c r="CA216" s="1"/>
      <c r="CB216" s="1"/>
      <c r="CC216" s="1"/>
      <c r="CD216" s="1"/>
      <c r="CE216" s="1"/>
      <c r="CF216" s="1"/>
      <c r="CG216" s="1"/>
    </row>
    <row r="217" spans="1:85" ht="15.75">
      <c r="A217" s="109"/>
      <c r="B217" s="110"/>
      <c r="C217" s="111"/>
      <c r="D217" s="112" t="s">
        <v>128</v>
      </c>
      <c r="E217" s="58">
        <f t="shared" ref="E217:H217" si="977">SUM(E218:E236)</f>
        <v>0</v>
      </c>
      <c r="F217" s="58">
        <f t="shared" si="977"/>
        <v>0</v>
      </c>
      <c r="G217" s="58">
        <f t="shared" si="977"/>
        <v>0</v>
      </c>
      <c r="H217" s="58">
        <f t="shared" si="977"/>
        <v>0</v>
      </c>
      <c r="I217" s="60">
        <f t="shared" si="723"/>
        <v>0</v>
      </c>
      <c r="J217" s="60">
        <f t="shared" si="724"/>
        <v>0</v>
      </c>
      <c r="K217" s="58">
        <f t="shared" ref="K217:W217" si="978">SUM(K218:K236)</f>
        <v>31840.36</v>
      </c>
      <c r="L217" s="58">
        <f t="shared" si="978"/>
        <v>18800</v>
      </c>
      <c r="M217" s="58">
        <f t="shared" si="978"/>
        <v>18800</v>
      </c>
      <c r="N217" s="58">
        <f t="shared" si="978"/>
        <v>0</v>
      </c>
      <c r="O217" s="58">
        <f t="shared" si="978"/>
        <v>31840.36</v>
      </c>
      <c r="P217" s="58">
        <f t="shared" si="978"/>
        <v>0</v>
      </c>
      <c r="Q217" s="58">
        <f t="shared" si="978"/>
        <v>0</v>
      </c>
      <c r="R217" s="58">
        <f t="shared" si="978"/>
        <v>31840.36</v>
      </c>
      <c r="S217" s="58">
        <f t="shared" si="978"/>
        <v>0</v>
      </c>
      <c r="T217" s="58">
        <f t="shared" si="978"/>
        <v>0</v>
      </c>
      <c r="U217" s="58">
        <f t="shared" si="978"/>
        <v>0</v>
      </c>
      <c r="V217" s="58">
        <f t="shared" si="978"/>
        <v>0</v>
      </c>
      <c r="W217" s="58">
        <f t="shared" si="978"/>
        <v>0</v>
      </c>
      <c r="X217" s="63">
        <f t="shared" ref="X217:Y217" si="979">IF(O217&gt;0,O217/K217,0)</f>
        <v>1</v>
      </c>
      <c r="Y217" s="63">
        <f t="shared" si="979"/>
        <v>0</v>
      </c>
      <c r="Z217" s="63">
        <f t="shared" si="720"/>
        <v>0</v>
      </c>
      <c r="AA217" s="58">
        <f t="shared" ref="AA217:BW217" si="980">SUM(AA218:AA236)</f>
        <v>0</v>
      </c>
      <c r="AB217" s="58">
        <f t="shared" si="980"/>
        <v>0</v>
      </c>
      <c r="AC217" s="58">
        <f t="shared" si="980"/>
        <v>0</v>
      </c>
      <c r="AD217" s="58">
        <f t="shared" si="980"/>
        <v>8199.9</v>
      </c>
      <c r="AE217" s="58">
        <f t="shared" si="980"/>
        <v>0</v>
      </c>
      <c r="AF217" s="58">
        <f t="shared" si="980"/>
        <v>0</v>
      </c>
      <c r="AG217" s="58">
        <f t="shared" si="980"/>
        <v>1587.98</v>
      </c>
      <c r="AH217" s="58">
        <f t="shared" si="980"/>
        <v>0</v>
      </c>
      <c r="AI217" s="58">
        <f t="shared" si="980"/>
        <v>0</v>
      </c>
      <c r="AJ217" s="58">
        <f t="shared" si="980"/>
        <v>6429.369999999999</v>
      </c>
      <c r="AK217" s="58">
        <f t="shared" si="980"/>
        <v>0</v>
      </c>
      <c r="AL217" s="58">
        <f t="shared" si="980"/>
        <v>0</v>
      </c>
      <c r="AM217" s="58">
        <f t="shared" si="980"/>
        <v>5879.9</v>
      </c>
      <c r="AN217" s="58">
        <f t="shared" si="980"/>
        <v>0</v>
      </c>
      <c r="AO217" s="58">
        <f t="shared" si="980"/>
        <v>0</v>
      </c>
      <c r="AP217" s="58">
        <f t="shared" si="980"/>
        <v>240</v>
      </c>
      <c r="AQ217" s="58">
        <f t="shared" si="980"/>
        <v>0</v>
      </c>
      <c r="AR217" s="58">
        <f t="shared" si="980"/>
        <v>0</v>
      </c>
      <c r="AS217" s="58">
        <f t="shared" si="980"/>
        <v>3327.7200000000003</v>
      </c>
      <c r="AT217" s="58">
        <f t="shared" si="980"/>
        <v>0</v>
      </c>
      <c r="AU217" s="58">
        <f t="shared" si="980"/>
        <v>0</v>
      </c>
      <c r="AV217" s="58">
        <f t="shared" si="980"/>
        <v>199.99</v>
      </c>
      <c r="AW217" s="58">
        <f t="shared" si="980"/>
        <v>0</v>
      </c>
      <c r="AX217" s="58">
        <f t="shared" si="980"/>
        <v>0</v>
      </c>
      <c r="AY217" s="58">
        <f t="shared" si="980"/>
        <v>0</v>
      </c>
      <c r="AZ217" s="58">
        <f t="shared" si="980"/>
        <v>0</v>
      </c>
      <c r="BA217" s="58">
        <f t="shared" si="980"/>
        <v>0</v>
      </c>
      <c r="BB217" s="58">
        <f t="shared" si="980"/>
        <v>0</v>
      </c>
      <c r="BC217" s="58">
        <f t="shared" si="980"/>
        <v>0</v>
      </c>
      <c r="BD217" s="58">
        <f t="shared" si="980"/>
        <v>0</v>
      </c>
      <c r="BE217" s="58">
        <f t="shared" si="980"/>
        <v>0</v>
      </c>
      <c r="BF217" s="58">
        <f t="shared" si="980"/>
        <v>0</v>
      </c>
      <c r="BG217" s="58">
        <f t="shared" si="980"/>
        <v>0</v>
      </c>
      <c r="BH217" s="58">
        <f t="shared" si="980"/>
        <v>5975.5</v>
      </c>
      <c r="BI217" s="58">
        <f t="shared" si="980"/>
        <v>0</v>
      </c>
      <c r="BJ217" s="58">
        <f t="shared" si="980"/>
        <v>0</v>
      </c>
      <c r="BK217" s="58">
        <f t="shared" si="980"/>
        <v>31840.36</v>
      </c>
      <c r="BL217" s="58">
        <f t="shared" si="980"/>
        <v>0</v>
      </c>
      <c r="BM217" s="58">
        <f t="shared" si="980"/>
        <v>0</v>
      </c>
      <c r="BN217" s="58">
        <f t="shared" si="980"/>
        <v>0</v>
      </c>
      <c r="BO217" s="58">
        <f t="shared" si="980"/>
        <v>0</v>
      </c>
      <c r="BP217" s="58">
        <f t="shared" si="980"/>
        <v>0</v>
      </c>
      <c r="BQ217" s="58">
        <f t="shared" si="980"/>
        <v>0</v>
      </c>
      <c r="BR217" s="58">
        <f t="shared" si="980"/>
        <v>0</v>
      </c>
      <c r="BS217" s="58">
        <f t="shared" si="980"/>
        <v>0</v>
      </c>
      <c r="BT217" s="58">
        <f t="shared" si="980"/>
        <v>0</v>
      </c>
      <c r="BU217" s="58">
        <f t="shared" si="980"/>
        <v>0</v>
      </c>
      <c r="BV217" s="58">
        <f t="shared" si="980"/>
        <v>0</v>
      </c>
      <c r="BW217" s="58">
        <f t="shared" si="980"/>
        <v>0</v>
      </c>
      <c r="BX217" s="65"/>
      <c r="BY217" s="65"/>
      <c r="BZ217" s="65"/>
      <c r="CA217" s="65"/>
      <c r="CB217" s="65"/>
      <c r="CC217" s="65"/>
      <c r="CD217" s="65"/>
      <c r="CE217" s="65"/>
      <c r="CF217" s="65"/>
      <c r="CG217" s="65"/>
    </row>
    <row r="218" spans="1:85" ht="15.75" customHeight="1">
      <c r="A218" s="66" t="s">
        <v>474</v>
      </c>
      <c r="B218" s="114" t="s">
        <v>475</v>
      </c>
      <c r="C218" s="68" t="s">
        <v>476</v>
      </c>
      <c r="D218" s="173" t="s">
        <v>477</v>
      </c>
      <c r="E218" s="70"/>
      <c r="F218" s="71"/>
      <c r="G218" s="71">
        <f t="shared" ref="G218:G236" si="981">E218-F218</f>
        <v>0</v>
      </c>
      <c r="H218" s="70"/>
      <c r="I218" s="72">
        <f t="shared" si="723"/>
        <v>0</v>
      </c>
      <c r="J218" s="72">
        <f t="shared" si="724"/>
        <v>0</v>
      </c>
      <c r="K218" s="73">
        <v>199.99</v>
      </c>
      <c r="L218" s="81">
        <v>18800</v>
      </c>
      <c r="M218" s="82">
        <v>18800</v>
      </c>
      <c r="N218" s="88"/>
      <c r="O218" s="77">
        <f t="shared" ref="O218:Q218" si="982">AA218+AD218+AG218+AJ218+AM218+AP218+AS218+AV218+AY218+BB218+BE218+BH218</f>
        <v>199.99</v>
      </c>
      <c r="P218" s="77">
        <f t="shared" si="982"/>
        <v>0</v>
      </c>
      <c r="Q218" s="77">
        <f t="shared" si="982"/>
        <v>0</v>
      </c>
      <c r="R218" s="77">
        <f t="shared" ref="R218:T218" si="983">IF(BK218=0,SUM(AA218+AD218+AG218+AJ218+AM218+AP218+AS218+AV218+AY218+BB218+BE218+BH218),BK218)</f>
        <v>199.99</v>
      </c>
      <c r="S218" s="77">
        <f t="shared" si="983"/>
        <v>0</v>
      </c>
      <c r="T218" s="77">
        <f t="shared" si="983"/>
        <v>0</v>
      </c>
      <c r="U218" s="79">
        <f t="shared" ref="U218:U236" si="984">K218-O218</f>
        <v>0</v>
      </c>
      <c r="V218" s="79">
        <f t="shared" ref="V218:V236" si="985">L218-M218-S218</f>
        <v>0</v>
      </c>
      <c r="W218" s="79">
        <f t="shared" ref="W218:W236" si="986">N218-Q218</f>
        <v>0</v>
      </c>
      <c r="X218" s="80">
        <f t="shared" ref="X218:Y218" si="987">IF(O218&gt;0,O218/K218,0)</f>
        <v>1</v>
      </c>
      <c r="Y218" s="80">
        <f t="shared" si="987"/>
        <v>0</v>
      </c>
      <c r="Z218" s="80">
        <f t="shared" si="720"/>
        <v>0</v>
      </c>
      <c r="AA218" s="81"/>
      <c r="AB218" s="81"/>
      <c r="AC218" s="81"/>
      <c r="AD218" s="81"/>
      <c r="AE218" s="83"/>
      <c r="AF218" s="83"/>
      <c r="AG218" s="83"/>
      <c r="AH218" s="83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2">
        <v>199.99</v>
      </c>
      <c r="AW218" s="81"/>
      <c r="AX218" s="81"/>
      <c r="AY218" s="81"/>
      <c r="AZ218" s="81"/>
      <c r="BA218" s="81"/>
      <c r="BB218" s="81"/>
      <c r="BC218" s="81"/>
      <c r="BD218" s="81"/>
      <c r="BE218" s="81"/>
      <c r="BF218" s="81"/>
      <c r="BG218" s="81"/>
      <c r="BH218" s="81"/>
      <c r="BI218" s="81"/>
      <c r="BJ218" s="81"/>
      <c r="BK218" s="82">
        <v>199.99</v>
      </c>
      <c r="BL218" s="82">
        <v>0</v>
      </c>
      <c r="BM218" s="82">
        <v>0</v>
      </c>
      <c r="BN218" s="81">
        <f t="shared" ref="BN218:BN236" si="988">IF(O218-BK218&gt;0,O218-BK218,0)</f>
        <v>0</v>
      </c>
      <c r="BO218" s="75">
        <f t="shared" ref="BO218:BO236" si="989">IF(Q218-BM218&gt;0,Q218-BM218,0)</f>
        <v>0</v>
      </c>
      <c r="BP218" s="81">
        <f t="shared" ref="BP218:BP236" si="990">IF(BN218+BO218&gt;0,BN218+BO218,0)</f>
        <v>0</v>
      </c>
      <c r="BQ218" s="81">
        <f t="shared" ref="BQ218:BQ236" si="991">IF(U218=0,0,U218)</f>
        <v>0</v>
      </c>
      <c r="BR218" s="81">
        <f t="shared" ref="BR218:BR236" si="992">IF(W218=0,0,W218)</f>
        <v>0</v>
      </c>
      <c r="BS218" s="81">
        <f t="shared" ref="BS218:BS236" si="993">IF(BQ218+BR218&gt;0,BQ218+BR218,0)</f>
        <v>0</v>
      </c>
      <c r="BT218" s="81">
        <f t="shared" ref="BT218:BT236" si="994">IF(V218&gt;0,V218,0)</f>
        <v>0</v>
      </c>
      <c r="BU218" s="81">
        <f t="shared" ref="BU218:BU236" si="995">IF(BP218=0,0,BP218)</f>
        <v>0</v>
      </c>
      <c r="BV218" s="81">
        <f t="shared" ref="BV218:BV236" si="996">IF(BS218=0,0,BS218)</f>
        <v>0</v>
      </c>
      <c r="BW218" s="81">
        <f t="shared" ref="BW218:BW236" si="997">IF(BP218+BT218+BV218&gt;0,BP218+BT218+BV218,0)</f>
        <v>0</v>
      </c>
      <c r="BX218" s="1"/>
      <c r="BY218" s="1"/>
      <c r="BZ218" s="1"/>
      <c r="CA218" s="1"/>
      <c r="CB218" s="1"/>
      <c r="CC218" s="1"/>
      <c r="CD218" s="1"/>
      <c r="CE218" s="1"/>
      <c r="CF218" s="1"/>
      <c r="CG218" s="1"/>
    </row>
    <row r="219" spans="1:85" ht="15.75" customHeight="1">
      <c r="A219" s="125" t="s">
        <v>478</v>
      </c>
      <c r="B219" s="115"/>
      <c r="C219" s="86" t="s">
        <v>476</v>
      </c>
      <c r="D219" s="126" t="s">
        <v>479</v>
      </c>
      <c r="E219" s="70"/>
      <c r="F219" s="71"/>
      <c r="G219" s="71">
        <f t="shared" si="981"/>
        <v>0</v>
      </c>
      <c r="H219" s="70"/>
      <c r="I219" s="72">
        <f t="shared" si="723"/>
        <v>0</v>
      </c>
      <c r="J219" s="72">
        <f t="shared" si="724"/>
        <v>0</v>
      </c>
      <c r="K219" s="231">
        <v>1160</v>
      </c>
      <c r="L219" s="276"/>
      <c r="M219" s="276"/>
      <c r="N219" s="252"/>
      <c r="O219" s="77">
        <f t="shared" ref="O219:Q219" si="998">AA219+AD219+AG219+AJ219+AM219+AP219+AS219+AV219+AY219+BB219+BE219+BH219</f>
        <v>1160</v>
      </c>
      <c r="P219" s="77">
        <f t="shared" si="998"/>
        <v>0</v>
      </c>
      <c r="Q219" s="77">
        <f t="shared" si="998"/>
        <v>0</v>
      </c>
      <c r="R219" s="77">
        <f t="shared" ref="R219:T219" si="999">IF(BK219=0,SUM(AA219+AD219+AG219+AJ219+AM219+AP219+AS219+AV219+AY219+BB219+BE219+BH219),BK219)</f>
        <v>1160</v>
      </c>
      <c r="S219" s="77">
        <f t="shared" si="999"/>
        <v>0</v>
      </c>
      <c r="T219" s="77">
        <f t="shared" si="999"/>
        <v>0</v>
      </c>
      <c r="U219" s="79">
        <f t="shared" si="984"/>
        <v>0</v>
      </c>
      <c r="V219" s="79">
        <f t="shared" si="985"/>
        <v>0</v>
      </c>
      <c r="W219" s="79">
        <f t="shared" si="986"/>
        <v>0</v>
      </c>
      <c r="X219" s="80">
        <f t="shared" ref="X219:Y219" si="1000">IF(O219&gt;0,O219/K219,0)</f>
        <v>1</v>
      </c>
      <c r="Y219" s="80">
        <f t="shared" si="1000"/>
        <v>0</v>
      </c>
      <c r="Z219" s="80">
        <f t="shared" si="720"/>
        <v>0</v>
      </c>
      <c r="AA219" s="276"/>
      <c r="AB219" s="276"/>
      <c r="AC219" s="276"/>
      <c r="AD219" s="277"/>
      <c r="AE219" s="276"/>
      <c r="AF219" s="276"/>
      <c r="AG219" s="276"/>
      <c r="AH219" s="276"/>
      <c r="AI219" s="276"/>
      <c r="AJ219" s="276"/>
      <c r="AK219" s="276"/>
      <c r="AL219" s="276"/>
      <c r="AM219" s="276"/>
      <c r="AN219" s="276"/>
      <c r="AO219" s="276"/>
      <c r="AP219" s="276"/>
      <c r="AQ219" s="276"/>
      <c r="AR219" s="276"/>
      <c r="AS219" s="277">
        <v>1160</v>
      </c>
      <c r="AT219" s="276"/>
      <c r="AU219" s="276"/>
      <c r="AV219" s="276"/>
      <c r="AW219" s="276"/>
      <c r="AX219" s="276"/>
      <c r="AY219" s="276"/>
      <c r="AZ219" s="276"/>
      <c r="BA219" s="276"/>
      <c r="BB219" s="276"/>
      <c r="BC219" s="276"/>
      <c r="BD219" s="276"/>
      <c r="BE219" s="276"/>
      <c r="BF219" s="276"/>
      <c r="BG219" s="276"/>
      <c r="BH219" s="276"/>
      <c r="BI219" s="276"/>
      <c r="BJ219" s="276"/>
      <c r="BK219" s="277">
        <v>1160</v>
      </c>
      <c r="BL219" s="277">
        <v>0</v>
      </c>
      <c r="BM219" s="277">
        <v>0</v>
      </c>
      <c r="BN219" s="81">
        <f t="shared" si="988"/>
        <v>0</v>
      </c>
      <c r="BO219" s="75">
        <f t="shared" si="989"/>
        <v>0</v>
      </c>
      <c r="BP219" s="81">
        <f t="shared" si="990"/>
        <v>0</v>
      </c>
      <c r="BQ219" s="81">
        <f t="shared" si="991"/>
        <v>0</v>
      </c>
      <c r="BR219" s="81">
        <f t="shared" si="992"/>
        <v>0</v>
      </c>
      <c r="BS219" s="81">
        <f t="shared" si="993"/>
        <v>0</v>
      </c>
      <c r="BT219" s="81">
        <f t="shared" si="994"/>
        <v>0</v>
      </c>
      <c r="BU219" s="81">
        <f t="shared" si="995"/>
        <v>0</v>
      </c>
      <c r="BV219" s="81">
        <f t="shared" si="996"/>
        <v>0</v>
      </c>
      <c r="BW219" s="81">
        <f t="shared" si="997"/>
        <v>0</v>
      </c>
      <c r="BX219" s="1"/>
      <c r="BY219" s="1"/>
      <c r="BZ219" s="1"/>
      <c r="CA219" s="1"/>
      <c r="CB219" s="1"/>
      <c r="CC219" s="1"/>
      <c r="CD219" s="1"/>
      <c r="CE219" s="1"/>
      <c r="CF219" s="1"/>
      <c r="CG219" s="1"/>
    </row>
    <row r="220" spans="1:85" ht="15.75" customHeight="1">
      <c r="A220" s="125" t="s">
        <v>480</v>
      </c>
      <c r="B220" s="115"/>
      <c r="C220" s="86" t="s">
        <v>476</v>
      </c>
      <c r="D220" s="126" t="s">
        <v>481</v>
      </c>
      <c r="E220" s="70"/>
      <c r="F220" s="71"/>
      <c r="G220" s="71">
        <f t="shared" si="981"/>
        <v>0</v>
      </c>
      <c r="H220" s="70"/>
      <c r="I220" s="72">
        <f t="shared" si="723"/>
        <v>0</v>
      </c>
      <c r="J220" s="72">
        <f t="shared" si="724"/>
        <v>0</v>
      </c>
      <c r="K220" s="231">
        <v>1519.92</v>
      </c>
      <c r="L220" s="276"/>
      <c r="M220" s="276"/>
      <c r="N220" s="252"/>
      <c r="O220" s="77">
        <f t="shared" ref="O220:Q220" si="1001">AA220+AD220+AG220+AJ220+AM220+AP220+AS220+AV220+AY220+BB220+BE220+BH220</f>
        <v>1519.92</v>
      </c>
      <c r="P220" s="77">
        <f t="shared" si="1001"/>
        <v>0</v>
      </c>
      <c r="Q220" s="77">
        <f t="shared" si="1001"/>
        <v>0</v>
      </c>
      <c r="R220" s="77">
        <f t="shared" ref="R220:T220" si="1002">IF(BK220=0,SUM(AA220+AD220+AG220+AJ220+AM220+AP220+AS220+AV220+AY220+BB220+BE220+BH220),BK220)</f>
        <v>1519.92</v>
      </c>
      <c r="S220" s="77">
        <f t="shared" si="1002"/>
        <v>0</v>
      </c>
      <c r="T220" s="77">
        <f t="shared" si="1002"/>
        <v>0</v>
      </c>
      <c r="U220" s="79">
        <f t="shared" si="984"/>
        <v>0</v>
      </c>
      <c r="V220" s="79">
        <f t="shared" si="985"/>
        <v>0</v>
      </c>
      <c r="W220" s="79">
        <f t="shared" si="986"/>
        <v>0</v>
      </c>
      <c r="X220" s="80">
        <f t="shared" ref="X220:Y220" si="1003">IF(O220&gt;0,O220/K220,0)</f>
        <v>1</v>
      </c>
      <c r="Y220" s="80">
        <f t="shared" si="1003"/>
        <v>0</v>
      </c>
      <c r="Z220" s="80">
        <f t="shared" si="720"/>
        <v>0</v>
      </c>
      <c r="AA220" s="276"/>
      <c r="AB220" s="276"/>
      <c r="AC220" s="276"/>
      <c r="AD220" s="277"/>
      <c r="AE220" s="276"/>
      <c r="AF220" s="276"/>
      <c r="AG220" s="276"/>
      <c r="AH220" s="276"/>
      <c r="AI220" s="276"/>
      <c r="AJ220" s="276"/>
      <c r="AK220" s="276"/>
      <c r="AL220" s="276"/>
      <c r="AM220" s="276"/>
      <c r="AN220" s="276"/>
      <c r="AO220" s="276"/>
      <c r="AP220" s="276"/>
      <c r="AQ220" s="276"/>
      <c r="AR220" s="276"/>
      <c r="AS220" s="277">
        <v>1519.92</v>
      </c>
      <c r="AT220" s="276"/>
      <c r="AU220" s="276"/>
      <c r="AV220" s="276"/>
      <c r="AW220" s="276"/>
      <c r="AX220" s="276"/>
      <c r="AY220" s="276"/>
      <c r="AZ220" s="276"/>
      <c r="BA220" s="276"/>
      <c r="BB220" s="276"/>
      <c r="BC220" s="276"/>
      <c r="BD220" s="276"/>
      <c r="BE220" s="276"/>
      <c r="BF220" s="276"/>
      <c r="BG220" s="276"/>
      <c r="BH220" s="276"/>
      <c r="BI220" s="276"/>
      <c r="BJ220" s="276"/>
      <c r="BK220" s="277">
        <v>1519.92</v>
      </c>
      <c r="BL220" s="277">
        <v>0</v>
      </c>
      <c r="BM220" s="277">
        <v>0</v>
      </c>
      <c r="BN220" s="81">
        <f t="shared" si="988"/>
        <v>0</v>
      </c>
      <c r="BO220" s="75">
        <f t="shared" si="989"/>
        <v>0</v>
      </c>
      <c r="BP220" s="81">
        <f t="shared" si="990"/>
        <v>0</v>
      </c>
      <c r="BQ220" s="81">
        <f t="shared" si="991"/>
        <v>0</v>
      </c>
      <c r="BR220" s="81">
        <f t="shared" si="992"/>
        <v>0</v>
      </c>
      <c r="BS220" s="81">
        <f t="shared" si="993"/>
        <v>0</v>
      </c>
      <c r="BT220" s="81">
        <f t="shared" si="994"/>
        <v>0</v>
      </c>
      <c r="BU220" s="81">
        <f t="shared" si="995"/>
        <v>0</v>
      </c>
      <c r="BV220" s="81">
        <f t="shared" si="996"/>
        <v>0</v>
      </c>
      <c r="BW220" s="81">
        <f t="shared" si="997"/>
        <v>0</v>
      </c>
      <c r="BX220" s="1"/>
      <c r="BY220" s="1"/>
      <c r="BZ220" s="1"/>
      <c r="CA220" s="1"/>
      <c r="CB220" s="1"/>
      <c r="CC220" s="1"/>
      <c r="CD220" s="1"/>
      <c r="CE220" s="1"/>
      <c r="CF220" s="1"/>
      <c r="CG220" s="1"/>
    </row>
    <row r="221" spans="1:85" ht="15.75" customHeight="1">
      <c r="A221" s="125" t="s">
        <v>482</v>
      </c>
      <c r="B221" s="115"/>
      <c r="C221" s="86" t="s">
        <v>476</v>
      </c>
      <c r="D221" s="126" t="s">
        <v>483</v>
      </c>
      <c r="E221" s="70"/>
      <c r="F221" s="71"/>
      <c r="G221" s="71">
        <f t="shared" si="981"/>
        <v>0</v>
      </c>
      <c r="H221" s="70"/>
      <c r="I221" s="72">
        <f t="shared" si="723"/>
        <v>0</v>
      </c>
      <c r="J221" s="72">
        <f t="shared" si="724"/>
        <v>0</v>
      </c>
      <c r="K221" s="231">
        <v>240</v>
      </c>
      <c r="L221" s="276"/>
      <c r="M221" s="276"/>
      <c r="N221" s="252"/>
      <c r="O221" s="77">
        <f t="shared" ref="O221:Q221" si="1004">AA221+AD221+AG221+AJ221+AM221+AP221+AS221+AV221+AY221+BB221+BE221+BH221</f>
        <v>240</v>
      </c>
      <c r="P221" s="77">
        <f t="shared" si="1004"/>
        <v>0</v>
      </c>
      <c r="Q221" s="77">
        <f t="shared" si="1004"/>
        <v>0</v>
      </c>
      <c r="R221" s="77">
        <f t="shared" ref="R221:T221" si="1005">IF(BK221=0,SUM(AA221+AD221+AG221+AJ221+AM221+AP221+AS221+AV221+AY221+BB221+BE221+BH221),BK221)</f>
        <v>240</v>
      </c>
      <c r="S221" s="77">
        <f t="shared" si="1005"/>
        <v>0</v>
      </c>
      <c r="T221" s="77">
        <f t="shared" si="1005"/>
        <v>0</v>
      </c>
      <c r="U221" s="79">
        <f t="shared" si="984"/>
        <v>0</v>
      </c>
      <c r="V221" s="79">
        <f t="shared" si="985"/>
        <v>0</v>
      </c>
      <c r="W221" s="79">
        <f t="shared" si="986"/>
        <v>0</v>
      </c>
      <c r="X221" s="80">
        <f t="shared" ref="X221:Y221" si="1006">IF(O221&gt;0,O221/K221,0)</f>
        <v>1</v>
      </c>
      <c r="Y221" s="80">
        <f t="shared" si="1006"/>
        <v>0</v>
      </c>
      <c r="Z221" s="80">
        <f t="shared" si="720"/>
        <v>0</v>
      </c>
      <c r="AA221" s="276"/>
      <c r="AB221" s="276"/>
      <c r="AC221" s="276"/>
      <c r="AD221" s="277"/>
      <c r="AE221" s="276"/>
      <c r="AF221" s="276"/>
      <c r="AG221" s="276"/>
      <c r="AH221" s="276"/>
      <c r="AI221" s="276"/>
      <c r="AJ221" s="276"/>
      <c r="AK221" s="276"/>
      <c r="AL221" s="276"/>
      <c r="AM221" s="276"/>
      <c r="AN221" s="276"/>
      <c r="AO221" s="276"/>
      <c r="AP221" s="277">
        <v>240</v>
      </c>
      <c r="AQ221" s="276"/>
      <c r="AR221" s="276"/>
      <c r="AS221" s="276"/>
      <c r="AT221" s="276"/>
      <c r="AU221" s="276"/>
      <c r="AV221" s="276"/>
      <c r="AW221" s="276"/>
      <c r="AX221" s="276"/>
      <c r="AY221" s="276"/>
      <c r="AZ221" s="276"/>
      <c r="BA221" s="276"/>
      <c r="BB221" s="276"/>
      <c r="BC221" s="276"/>
      <c r="BD221" s="276"/>
      <c r="BE221" s="276"/>
      <c r="BF221" s="276"/>
      <c r="BG221" s="276"/>
      <c r="BH221" s="276"/>
      <c r="BI221" s="276"/>
      <c r="BJ221" s="276"/>
      <c r="BK221" s="277">
        <v>240</v>
      </c>
      <c r="BL221" s="277">
        <v>0</v>
      </c>
      <c r="BM221" s="277">
        <v>0</v>
      </c>
      <c r="BN221" s="81">
        <f t="shared" si="988"/>
        <v>0</v>
      </c>
      <c r="BO221" s="75">
        <f t="shared" si="989"/>
        <v>0</v>
      </c>
      <c r="BP221" s="81">
        <f t="shared" si="990"/>
        <v>0</v>
      </c>
      <c r="BQ221" s="81">
        <f t="shared" si="991"/>
        <v>0</v>
      </c>
      <c r="BR221" s="81">
        <f t="shared" si="992"/>
        <v>0</v>
      </c>
      <c r="BS221" s="81">
        <f t="shared" si="993"/>
        <v>0</v>
      </c>
      <c r="BT221" s="81">
        <f t="shared" si="994"/>
        <v>0</v>
      </c>
      <c r="BU221" s="81">
        <f t="shared" si="995"/>
        <v>0</v>
      </c>
      <c r="BV221" s="81">
        <f t="shared" si="996"/>
        <v>0</v>
      </c>
      <c r="BW221" s="81">
        <f t="shared" si="997"/>
        <v>0</v>
      </c>
      <c r="BX221" s="1"/>
      <c r="BY221" s="1"/>
      <c r="BZ221" s="1"/>
      <c r="CA221" s="1"/>
      <c r="CB221" s="1"/>
      <c r="CC221" s="1"/>
      <c r="CD221" s="1"/>
      <c r="CE221" s="1"/>
      <c r="CF221" s="1"/>
      <c r="CG221" s="1"/>
    </row>
    <row r="222" spans="1:85" ht="15.75" customHeight="1">
      <c r="A222" s="125" t="s">
        <v>484</v>
      </c>
      <c r="B222" s="115"/>
      <c r="C222" s="86" t="s">
        <v>476</v>
      </c>
      <c r="D222" s="126" t="s">
        <v>485</v>
      </c>
      <c r="E222" s="70"/>
      <c r="F222" s="71"/>
      <c r="G222" s="71">
        <f t="shared" si="981"/>
        <v>0</v>
      </c>
      <c r="H222" s="70"/>
      <c r="I222" s="72">
        <f t="shared" si="723"/>
        <v>0</v>
      </c>
      <c r="J222" s="72">
        <f t="shared" si="724"/>
        <v>0</v>
      </c>
      <c r="K222" s="231">
        <v>647.79999999999995</v>
      </c>
      <c r="L222" s="276"/>
      <c r="M222" s="276"/>
      <c r="N222" s="252"/>
      <c r="O222" s="77">
        <f t="shared" ref="O222:Q222" si="1007">AA222+AD222+AG222+AJ222+AM222+AP222+AS222+AV222+AY222+BB222+BE222+BH222</f>
        <v>647.79999999999995</v>
      </c>
      <c r="P222" s="77">
        <f t="shared" si="1007"/>
        <v>0</v>
      </c>
      <c r="Q222" s="77">
        <f t="shared" si="1007"/>
        <v>0</v>
      </c>
      <c r="R222" s="77">
        <f t="shared" ref="R222:T222" si="1008">IF(BK222=0,SUM(AA222+AD222+AG222+AJ222+AM222+AP222+AS222+AV222+AY222+BB222+BE222+BH222),BK222)</f>
        <v>647.79999999999995</v>
      </c>
      <c r="S222" s="77">
        <f t="shared" si="1008"/>
        <v>0</v>
      </c>
      <c r="T222" s="77">
        <f t="shared" si="1008"/>
        <v>0</v>
      </c>
      <c r="U222" s="79">
        <f t="shared" si="984"/>
        <v>0</v>
      </c>
      <c r="V222" s="79">
        <f t="shared" si="985"/>
        <v>0</v>
      </c>
      <c r="W222" s="79">
        <f t="shared" si="986"/>
        <v>0</v>
      </c>
      <c r="X222" s="80">
        <f t="shared" ref="X222:Y222" si="1009">IF(O222&gt;0,O222/K222,0)</f>
        <v>1</v>
      </c>
      <c r="Y222" s="80">
        <f t="shared" si="1009"/>
        <v>0</v>
      </c>
      <c r="Z222" s="80">
        <f t="shared" si="720"/>
        <v>0</v>
      </c>
      <c r="AA222" s="276"/>
      <c r="AB222" s="276"/>
      <c r="AC222" s="276"/>
      <c r="AD222" s="277"/>
      <c r="AE222" s="276"/>
      <c r="AF222" s="276"/>
      <c r="AG222" s="276"/>
      <c r="AH222" s="276"/>
      <c r="AI222" s="276"/>
      <c r="AJ222" s="276"/>
      <c r="AK222" s="276"/>
      <c r="AL222" s="276"/>
      <c r="AM222" s="276"/>
      <c r="AN222" s="276"/>
      <c r="AO222" s="276"/>
      <c r="AP222" s="276"/>
      <c r="AQ222" s="276"/>
      <c r="AR222" s="276"/>
      <c r="AS222" s="277">
        <v>647.79999999999995</v>
      </c>
      <c r="AT222" s="276"/>
      <c r="AU222" s="276"/>
      <c r="AV222" s="276"/>
      <c r="AW222" s="276"/>
      <c r="AX222" s="276"/>
      <c r="AY222" s="276"/>
      <c r="AZ222" s="276"/>
      <c r="BA222" s="276"/>
      <c r="BB222" s="276"/>
      <c r="BC222" s="276"/>
      <c r="BD222" s="276"/>
      <c r="BE222" s="276"/>
      <c r="BF222" s="276"/>
      <c r="BG222" s="276"/>
      <c r="BH222" s="276"/>
      <c r="BI222" s="276"/>
      <c r="BJ222" s="276"/>
      <c r="BK222" s="277">
        <v>647.79999999999995</v>
      </c>
      <c r="BL222" s="277">
        <v>0</v>
      </c>
      <c r="BM222" s="277">
        <v>0</v>
      </c>
      <c r="BN222" s="81">
        <f t="shared" si="988"/>
        <v>0</v>
      </c>
      <c r="BO222" s="75">
        <f t="shared" si="989"/>
        <v>0</v>
      </c>
      <c r="BP222" s="81">
        <f t="shared" si="990"/>
        <v>0</v>
      </c>
      <c r="BQ222" s="81">
        <f t="shared" si="991"/>
        <v>0</v>
      </c>
      <c r="BR222" s="81">
        <f t="shared" si="992"/>
        <v>0</v>
      </c>
      <c r="BS222" s="81">
        <f t="shared" si="993"/>
        <v>0</v>
      </c>
      <c r="BT222" s="81">
        <f t="shared" si="994"/>
        <v>0</v>
      </c>
      <c r="BU222" s="81">
        <f t="shared" si="995"/>
        <v>0</v>
      </c>
      <c r="BV222" s="81">
        <f t="shared" si="996"/>
        <v>0</v>
      </c>
      <c r="BW222" s="81">
        <f t="shared" si="997"/>
        <v>0</v>
      </c>
      <c r="BX222" s="1"/>
      <c r="BY222" s="1"/>
      <c r="BZ222" s="1"/>
      <c r="CA222" s="1"/>
      <c r="CB222" s="1"/>
      <c r="CC222" s="1"/>
      <c r="CD222" s="1"/>
      <c r="CE222" s="1"/>
      <c r="CF222" s="1"/>
      <c r="CG222" s="1"/>
    </row>
    <row r="223" spans="1:85" ht="15.75" customHeight="1">
      <c r="A223" s="125" t="s">
        <v>486</v>
      </c>
      <c r="B223" s="115"/>
      <c r="C223" s="86" t="s">
        <v>476</v>
      </c>
      <c r="D223" s="126" t="s">
        <v>483</v>
      </c>
      <c r="E223" s="70"/>
      <c r="F223" s="71"/>
      <c r="G223" s="71">
        <f t="shared" si="981"/>
        <v>0</v>
      </c>
      <c r="H223" s="70"/>
      <c r="I223" s="72">
        <f t="shared" si="723"/>
        <v>0</v>
      </c>
      <c r="J223" s="72">
        <f t="shared" si="724"/>
        <v>0</v>
      </c>
      <c r="K223" s="231">
        <v>340</v>
      </c>
      <c r="L223" s="276"/>
      <c r="M223" s="276"/>
      <c r="N223" s="252"/>
      <c r="O223" s="77">
        <f t="shared" ref="O223:Q223" si="1010">AA223+AD223+AG223+AJ223+AM223+AP223+AS223+AV223+AY223+BB223+BE223+BH223</f>
        <v>340</v>
      </c>
      <c r="P223" s="77">
        <f t="shared" si="1010"/>
        <v>0</v>
      </c>
      <c r="Q223" s="77">
        <f t="shared" si="1010"/>
        <v>0</v>
      </c>
      <c r="R223" s="77">
        <f t="shared" ref="R223:T223" si="1011">IF(BK223=0,SUM(AA223+AD223+AG223+AJ223+AM223+AP223+AS223+AV223+AY223+BB223+BE223+BH223),BK223)</f>
        <v>340</v>
      </c>
      <c r="S223" s="77">
        <f t="shared" si="1011"/>
        <v>0</v>
      </c>
      <c r="T223" s="77">
        <f t="shared" si="1011"/>
        <v>0</v>
      </c>
      <c r="U223" s="79">
        <f t="shared" si="984"/>
        <v>0</v>
      </c>
      <c r="V223" s="79">
        <f t="shared" si="985"/>
        <v>0</v>
      </c>
      <c r="W223" s="79">
        <f t="shared" si="986"/>
        <v>0</v>
      </c>
      <c r="X223" s="80">
        <f t="shared" ref="X223:Y223" si="1012">IF(O223&gt;0,O223/K223,0)</f>
        <v>1</v>
      </c>
      <c r="Y223" s="80">
        <f t="shared" si="1012"/>
        <v>0</v>
      </c>
      <c r="Z223" s="80">
        <f t="shared" si="720"/>
        <v>0</v>
      </c>
      <c r="AA223" s="276"/>
      <c r="AB223" s="276"/>
      <c r="AC223" s="276"/>
      <c r="AD223" s="277">
        <v>340</v>
      </c>
      <c r="AE223" s="276"/>
      <c r="AF223" s="276"/>
      <c r="AG223" s="276"/>
      <c r="AH223" s="276"/>
      <c r="AI223" s="276"/>
      <c r="AJ223" s="276"/>
      <c r="AK223" s="276"/>
      <c r="AL223" s="276"/>
      <c r="AM223" s="276"/>
      <c r="AN223" s="276"/>
      <c r="AO223" s="276"/>
      <c r="AP223" s="276"/>
      <c r="AQ223" s="276"/>
      <c r="AR223" s="276"/>
      <c r="AS223" s="276"/>
      <c r="AT223" s="276"/>
      <c r="AU223" s="276"/>
      <c r="AV223" s="276"/>
      <c r="AW223" s="276"/>
      <c r="AX223" s="276"/>
      <c r="AY223" s="276"/>
      <c r="AZ223" s="276"/>
      <c r="BA223" s="276"/>
      <c r="BB223" s="276"/>
      <c r="BC223" s="276"/>
      <c r="BD223" s="276"/>
      <c r="BE223" s="276"/>
      <c r="BF223" s="276"/>
      <c r="BG223" s="276"/>
      <c r="BH223" s="276"/>
      <c r="BI223" s="276"/>
      <c r="BJ223" s="276"/>
      <c r="BK223" s="277">
        <v>340</v>
      </c>
      <c r="BL223" s="277">
        <v>0</v>
      </c>
      <c r="BM223" s="277">
        <v>0</v>
      </c>
      <c r="BN223" s="81">
        <f t="shared" si="988"/>
        <v>0</v>
      </c>
      <c r="BO223" s="75">
        <f t="shared" si="989"/>
        <v>0</v>
      </c>
      <c r="BP223" s="81">
        <f t="shared" si="990"/>
        <v>0</v>
      </c>
      <c r="BQ223" s="81">
        <f t="shared" si="991"/>
        <v>0</v>
      </c>
      <c r="BR223" s="81">
        <f t="shared" si="992"/>
        <v>0</v>
      </c>
      <c r="BS223" s="81">
        <f t="shared" si="993"/>
        <v>0</v>
      </c>
      <c r="BT223" s="81">
        <f t="shared" si="994"/>
        <v>0</v>
      </c>
      <c r="BU223" s="81">
        <f t="shared" si="995"/>
        <v>0</v>
      </c>
      <c r="BV223" s="81">
        <f t="shared" si="996"/>
        <v>0</v>
      </c>
      <c r="BW223" s="81">
        <f t="shared" si="997"/>
        <v>0</v>
      </c>
      <c r="BX223" s="1"/>
      <c r="BY223" s="1"/>
      <c r="BZ223" s="1"/>
      <c r="CA223" s="1"/>
      <c r="CB223" s="1"/>
      <c r="CC223" s="1"/>
      <c r="CD223" s="1"/>
      <c r="CE223" s="1"/>
      <c r="CF223" s="1"/>
      <c r="CG223" s="1"/>
    </row>
    <row r="224" spans="1:85" ht="15.75" customHeight="1">
      <c r="A224" s="125" t="s">
        <v>487</v>
      </c>
      <c r="B224" s="115"/>
      <c r="C224" s="86" t="s">
        <v>476</v>
      </c>
      <c r="D224" s="126" t="s">
        <v>488</v>
      </c>
      <c r="E224" s="70"/>
      <c r="F224" s="71"/>
      <c r="G224" s="71">
        <f t="shared" si="981"/>
        <v>0</v>
      </c>
      <c r="H224" s="70"/>
      <c r="I224" s="72">
        <f t="shared" si="723"/>
        <v>0</v>
      </c>
      <c r="J224" s="72">
        <f t="shared" si="724"/>
        <v>0</v>
      </c>
      <c r="K224" s="231">
        <v>780</v>
      </c>
      <c r="L224" s="276"/>
      <c r="M224" s="276"/>
      <c r="N224" s="252"/>
      <c r="O224" s="77">
        <f t="shared" ref="O224:Q224" si="1013">AA224+AD224+AG224+AJ224+AM224+AP224+AS224+AV224+AY224+BB224+BE224+BH224</f>
        <v>780</v>
      </c>
      <c r="P224" s="77">
        <f t="shared" si="1013"/>
        <v>0</v>
      </c>
      <c r="Q224" s="77">
        <f t="shared" si="1013"/>
        <v>0</v>
      </c>
      <c r="R224" s="77">
        <f t="shared" ref="R224:T224" si="1014">IF(BK224=0,SUM(AA224+AD224+AG224+AJ224+AM224+AP224+AS224+AV224+AY224+BB224+BE224+BH224),BK224)</f>
        <v>780</v>
      </c>
      <c r="S224" s="77">
        <f t="shared" si="1014"/>
        <v>0</v>
      </c>
      <c r="T224" s="77">
        <f t="shared" si="1014"/>
        <v>0</v>
      </c>
      <c r="U224" s="79">
        <f t="shared" si="984"/>
        <v>0</v>
      </c>
      <c r="V224" s="79">
        <f t="shared" si="985"/>
        <v>0</v>
      </c>
      <c r="W224" s="79">
        <f t="shared" si="986"/>
        <v>0</v>
      </c>
      <c r="X224" s="80">
        <f t="shared" ref="X224:Y224" si="1015">IF(O224&gt;0,O224/K224,0)</f>
        <v>1</v>
      </c>
      <c r="Y224" s="80">
        <f t="shared" si="1015"/>
        <v>0</v>
      </c>
      <c r="Z224" s="80">
        <f t="shared" si="720"/>
        <v>0</v>
      </c>
      <c r="AA224" s="276"/>
      <c r="AB224" s="276"/>
      <c r="AC224" s="276"/>
      <c r="AD224" s="276"/>
      <c r="AE224" s="276"/>
      <c r="AF224" s="276"/>
      <c r="AG224" s="277">
        <v>780</v>
      </c>
      <c r="AH224" s="276"/>
      <c r="AI224" s="276"/>
      <c r="AJ224" s="276"/>
      <c r="AK224" s="276"/>
      <c r="AL224" s="276"/>
      <c r="AM224" s="276"/>
      <c r="AN224" s="276"/>
      <c r="AO224" s="276"/>
      <c r="AP224" s="276"/>
      <c r="AQ224" s="276"/>
      <c r="AR224" s="276"/>
      <c r="AS224" s="276"/>
      <c r="AT224" s="276"/>
      <c r="AU224" s="276"/>
      <c r="AV224" s="276"/>
      <c r="AW224" s="276"/>
      <c r="AX224" s="276"/>
      <c r="AY224" s="276"/>
      <c r="AZ224" s="276"/>
      <c r="BA224" s="276"/>
      <c r="BB224" s="276"/>
      <c r="BC224" s="276"/>
      <c r="BD224" s="276"/>
      <c r="BE224" s="276"/>
      <c r="BF224" s="276"/>
      <c r="BG224" s="276"/>
      <c r="BH224" s="276"/>
      <c r="BI224" s="276"/>
      <c r="BJ224" s="276"/>
      <c r="BK224" s="277">
        <v>780</v>
      </c>
      <c r="BL224" s="277">
        <v>0</v>
      </c>
      <c r="BM224" s="277">
        <v>0</v>
      </c>
      <c r="BN224" s="81">
        <f t="shared" si="988"/>
        <v>0</v>
      </c>
      <c r="BO224" s="75">
        <f t="shared" si="989"/>
        <v>0</v>
      </c>
      <c r="BP224" s="81">
        <f t="shared" si="990"/>
        <v>0</v>
      </c>
      <c r="BQ224" s="81">
        <f t="shared" si="991"/>
        <v>0</v>
      </c>
      <c r="BR224" s="81">
        <f t="shared" si="992"/>
        <v>0</v>
      </c>
      <c r="BS224" s="81">
        <f t="shared" si="993"/>
        <v>0</v>
      </c>
      <c r="BT224" s="81">
        <f t="shared" si="994"/>
        <v>0</v>
      </c>
      <c r="BU224" s="81">
        <f t="shared" si="995"/>
        <v>0</v>
      </c>
      <c r="BV224" s="81">
        <f t="shared" si="996"/>
        <v>0</v>
      </c>
      <c r="BW224" s="81">
        <f t="shared" si="997"/>
        <v>0</v>
      </c>
      <c r="BX224" s="1"/>
      <c r="BY224" s="1"/>
      <c r="BZ224" s="1"/>
      <c r="CA224" s="1"/>
      <c r="CB224" s="1"/>
      <c r="CC224" s="1"/>
      <c r="CD224" s="1"/>
      <c r="CE224" s="1"/>
      <c r="CF224" s="1"/>
      <c r="CG224" s="1"/>
    </row>
    <row r="225" spans="1:85" ht="15.75" customHeight="1">
      <c r="A225" s="125" t="s">
        <v>489</v>
      </c>
      <c r="B225" s="115"/>
      <c r="C225" s="86" t="s">
        <v>476</v>
      </c>
      <c r="D225" s="126" t="s">
        <v>490</v>
      </c>
      <c r="E225" s="70"/>
      <c r="F225" s="71"/>
      <c r="G225" s="71">
        <f t="shared" si="981"/>
        <v>0</v>
      </c>
      <c r="H225" s="70"/>
      <c r="I225" s="72">
        <f t="shared" si="723"/>
        <v>0</v>
      </c>
      <c r="J225" s="72">
        <f t="shared" si="724"/>
        <v>0</v>
      </c>
      <c r="K225" s="231">
        <f>330-330</f>
        <v>0</v>
      </c>
      <c r="L225" s="276"/>
      <c r="M225" s="276"/>
      <c r="N225" s="252"/>
      <c r="O225" s="77">
        <f t="shared" ref="O225:Q225" si="1016">AA225+AD225+AG225+AJ225+AM225+AP225+AS225+AV225+AY225+BB225+BE225+BH225</f>
        <v>0</v>
      </c>
      <c r="P225" s="77">
        <f t="shared" si="1016"/>
        <v>0</v>
      </c>
      <c r="Q225" s="77">
        <f t="shared" si="1016"/>
        <v>0</v>
      </c>
      <c r="R225" s="77">
        <f t="shared" ref="R225:T225" si="1017">IF(BK225=0,SUM(AA225+AD225+AG225+AJ225+AM225+AP225+AS225+AV225+AY225+BB225+BE225+BH225),BK225)</f>
        <v>0</v>
      </c>
      <c r="S225" s="77">
        <f t="shared" si="1017"/>
        <v>0</v>
      </c>
      <c r="T225" s="77">
        <f t="shared" si="1017"/>
        <v>0</v>
      </c>
      <c r="U225" s="79">
        <f t="shared" si="984"/>
        <v>0</v>
      </c>
      <c r="V225" s="79">
        <f t="shared" si="985"/>
        <v>0</v>
      </c>
      <c r="W225" s="79">
        <f t="shared" si="986"/>
        <v>0</v>
      </c>
      <c r="X225" s="80">
        <f t="shared" ref="X225:Y225" si="1018">IF(O225&gt;0,O225/K225,0)</f>
        <v>0</v>
      </c>
      <c r="Y225" s="80">
        <f t="shared" si="1018"/>
        <v>0</v>
      </c>
      <c r="Z225" s="80">
        <f t="shared" si="720"/>
        <v>0</v>
      </c>
      <c r="AA225" s="276"/>
      <c r="AB225" s="276"/>
      <c r="AC225" s="276"/>
      <c r="AD225" s="276"/>
      <c r="AE225" s="276"/>
      <c r="AF225" s="276"/>
      <c r="AG225" s="276"/>
      <c r="AH225" s="276"/>
      <c r="AI225" s="276"/>
      <c r="AJ225" s="276"/>
      <c r="AK225" s="276"/>
      <c r="AL225" s="276"/>
      <c r="AM225" s="276"/>
      <c r="AN225" s="276"/>
      <c r="AO225" s="276"/>
      <c r="AP225" s="276"/>
      <c r="AQ225" s="276"/>
      <c r="AR225" s="276"/>
      <c r="AS225" s="276"/>
      <c r="AT225" s="276"/>
      <c r="AU225" s="276"/>
      <c r="AV225" s="276"/>
      <c r="AW225" s="276"/>
      <c r="AX225" s="276"/>
      <c r="AY225" s="276"/>
      <c r="AZ225" s="276"/>
      <c r="BA225" s="276"/>
      <c r="BB225" s="276"/>
      <c r="BC225" s="276"/>
      <c r="BD225" s="276"/>
      <c r="BE225" s="276"/>
      <c r="BF225" s="276"/>
      <c r="BG225" s="276"/>
      <c r="BH225" s="276"/>
      <c r="BI225" s="276"/>
      <c r="BJ225" s="276"/>
      <c r="BK225" s="578">
        <v>0</v>
      </c>
      <c r="BL225" s="277">
        <v>0</v>
      </c>
      <c r="BM225" s="277">
        <v>0</v>
      </c>
      <c r="BN225" s="81">
        <f t="shared" si="988"/>
        <v>0</v>
      </c>
      <c r="BO225" s="75">
        <f t="shared" si="989"/>
        <v>0</v>
      </c>
      <c r="BP225" s="81">
        <f t="shared" si="990"/>
        <v>0</v>
      </c>
      <c r="BQ225" s="81">
        <f t="shared" si="991"/>
        <v>0</v>
      </c>
      <c r="BR225" s="81">
        <f t="shared" si="992"/>
        <v>0</v>
      </c>
      <c r="BS225" s="81">
        <f t="shared" si="993"/>
        <v>0</v>
      </c>
      <c r="BT225" s="81">
        <f t="shared" si="994"/>
        <v>0</v>
      </c>
      <c r="BU225" s="81">
        <f t="shared" si="995"/>
        <v>0</v>
      </c>
      <c r="BV225" s="81">
        <f t="shared" si="996"/>
        <v>0</v>
      </c>
      <c r="BW225" s="81">
        <f t="shared" si="997"/>
        <v>0</v>
      </c>
      <c r="BX225" s="1"/>
      <c r="BY225" s="1"/>
      <c r="BZ225" s="1"/>
      <c r="CA225" s="1"/>
      <c r="CB225" s="1"/>
      <c r="CC225" s="1"/>
      <c r="CD225" s="1"/>
      <c r="CE225" s="1"/>
      <c r="CF225" s="1"/>
      <c r="CG225" s="1"/>
    </row>
    <row r="226" spans="1:85" ht="15.75" customHeight="1">
      <c r="A226" s="125" t="s">
        <v>491</v>
      </c>
      <c r="B226" s="115"/>
      <c r="C226" s="129" t="s">
        <v>476</v>
      </c>
      <c r="D226" s="126" t="s">
        <v>492</v>
      </c>
      <c r="E226" s="70"/>
      <c r="F226" s="71"/>
      <c r="G226" s="71">
        <f t="shared" si="981"/>
        <v>0</v>
      </c>
      <c r="H226" s="70"/>
      <c r="I226" s="72">
        <f t="shared" si="723"/>
        <v>0</v>
      </c>
      <c r="J226" s="72">
        <f t="shared" si="724"/>
        <v>0</v>
      </c>
      <c r="K226" s="73">
        <v>1949.9</v>
      </c>
      <c r="L226" s="81"/>
      <c r="M226" s="81"/>
      <c r="N226" s="88"/>
      <c r="O226" s="77">
        <f t="shared" ref="O226:Q226" si="1019">AA226+AD226+AG226+AJ226+AM226+AP226+AS226+AV226+AY226+BB226+BE226+BH226</f>
        <v>1949.9</v>
      </c>
      <c r="P226" s="77">
        <f t="shared" si="1019"/>
        <v>0</v>
      </c>
      <c r="Q226" s="77">
        <f t="shared" si="1019"/>
        <v>0</v>
      </c>
      <c r="R226" s="77">
        <f t="shared" ref="R226:T226" si="1020">IF(BK226=0,SUM(AA226+AD226+AG226+AJ226+AM226+AP226+AS226+AV226+AY226+BB226+BE226+BH226),BK226)</f>
        <v>1949.9</v>
      </c>
      <c r="S226" s="77">
        <f t="shared" si="1020"/>
        <v>0</v>
      </c>
      <c r="T226" s="77">
        <f t="shared" si="1020"/>
        <v>0</v>
      </c>
      <c r="U226" s="79">
        <f t="shared" si="984"/>
        <v>0</v>
      </c>
      <c r="V226" s="79">
        <f t="shared" si="985"/>
        <v>0</v>
      </c>
      <c r="W226" s="79">
        <f t="shared" si="986"/>
        <v>0</v>
      </c>
      <c r="X226" s="80">
        <f t="shared" ref="X226:Y226" si="1021">IF(O226&gt;0,O226/K226,0)</f>
        <v>1</v>
      </c>
      <c r="Y226" s="80">
        <f t="shared" si="1021"/>
        <v>0</v>
      </c>
      <c r="Z226" s="80">
        <f t="shared" si="720"/>
        <v>0</v>
      </c>
      <c r="AA226" s="81"/>
      <c r="AB226" s="81"/>
      <c r="AC226" s="81"/>
      <c r="AD226" s="82">
        <v>1949.9</v>
      </c>
      <c r="AE226" s="128"/>
      <c r="AF226" s="83"/>
      <c r="AG226" s="83"/>
      <c r="AH226" s="83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1"/>
      <c r="BE226" s="81"/>
      <c r="BF226" s="81"/>
      <c r="BG226" s="81"/>
      <c r="BH226" s="81"/>
      <c r="BI226" s="81"/>
      <c r="BJ226" s="81"/>
      <c r="BK226" s="82">
        <v>1949.9</v>
      </c>
      <c r="BL226" s="277">
        <v>0</v>
      </c>
      <c r="BM226" s="277">
        <v>0</v>
      </c>
      <c r="BN226" s="81">
        <f t="shared" si="988"/>
        <v>0</v>
      </c>
      <c r="BO226" s="75">
        <f t="shared" si="989"/>
        <v>0</v>
      </c>
      <c r="BP226" s="81">
        <f t="shared" si="990"/>
        <v>0</v>
      </c>
      <c r="BQ226" s="81">
        <f t="shared" si="991"/>
        <v>0</v>
      </c>
      <c r="BR226" s="81">
        <f t="shared" si="992"/>
        <v>0</v>
      </c>
      <c r="BS226" s="81">
        <f t="shared" si="993"/>
        <v>0</v>
      </c>
      <c r="BT226" s="81">
        <f t="shared" si="994"/>
        <v>0</v>
      </c>
      <c r="BU226" s="81">
        <f t="shared" si="995"/>
        <v>0</v>
      </c>
      <c r="BV226" s="81">
        <f t="shared" si="996"/>
        <v>0</v>
      </c>
      <c r="BW226" s="81">
        <f t="shared" si="997"/>
        <v>0</v>
      </c>
      <c r="BX226" s="1"/>
      <c r="BY226" s="1"/>
      <c r="BZ226" s="1"/>
      <c r="CA226" s="1"/>
      <c r="CB226" s="1"/>
      <c r="CC226" s="1"/>
      <c r="CD226" s="1"/>
      <c r="CE226" s="1"/>
      <c r="CF226" s="1"/>
      <c r="CG226" s="1"/>
    </row>
    <row r="227" spans="1:85" ht="15.75" customHeight="1">
      <c r="A227" s="125" t="s">
        <v>493</v>
      </c>
      <c r="B227" s="115"/>
      <c r="C227" s="129" t="s">
        <v>476</v>
      </c>
      <c r="D227" s="126" t="s">
        <v>494</v>
      </c>
      <c r="E227" s="70"/>
      <c r="F227" s="71"/>
      <c r="G227" s="71">
        <f t="shared" si="981"/>
        <v>0</v>
      </c>
      <c r="H227" s="70"/>
      <c r="I227" s="72">
        <f t="shared" si="723"/>
        <v>0</v>
      </c>
      <c r="J227" s="72">
        <f t="shared" si="724"/>
        <v>0</v>
      </c>
      <c r="K227" s="73">
        <v>3039.9</v>
      </c>
      <c r="L227" s="81"/>
      <c r="M227" s="81"/>
      <c r="N227" s="88"/>
      <c r="O227" s="77">
        <f t="shared" ref="O227:Q227" si="1022">AA227+AD227+AG227+AJ227+AM227+AP227+AS227+AV227+AY227+BB227+BE227+BH227</f>
        <v>3039.9</v>
      </c>
      <c r="P227" s="77">
        <f t="shared" si="1022"/>
        <v>0</v>
      </c>
      <c r="Q227" s="77">
        <f t="shared" si="1022"/>
        <v>0</v>
      </c>
      <c r="R227" s="77">
        <f t="shared" ref="R227:T227" si="1023">IF(BK227=0,SUM(AA227+AD227+AG227+AJ227+AM227+AP227+AS227+AV227+AY227+BB227+BE227+BH227),BK227)</f>
        <v>3039.9</v>
      </c>
      <c r="S227" s="77">
        <f t="shared" si="1023"/>
        <v>0</v>
      </c>
      <c r="T227" s="77">
        <f t="shared" si="1023"/>
        <v>0</v>
      </c>
      <c r="U227" s="79">
        <f t="shared" si="984"/>
        <v>0</v>
      </c>
      <c r="V227" s="79">
        <f t="shared" si="985"/>
        <v>0</v>
      </c>
      <c r="W227" s="79">
        <f t="shared" si="986"/>
        <v>0</v>
      </c>
      <c r="X227" s="80">
        <f t="shared" ref="X227:Y227" si="1024">IF(O227&gt;0,O227/K227,0)</f>
        <v>1</v>
      </c>
      <c r="Y227" s="80">
        <f t="shared" si="1024"/>
        <v>0</v>
      </c>
      <c r="Z227" s="80">
        <f t="shared" si="720"/>
        <v>0</v>
      </c>
      <c r="AA227" s="81"/>
      <c r="AB227" s="81"/>
      <c r="AC227" s="81"/>
      <c r="AD227" s="82"/>
      <c r="AE227" s="128"/>
      <c r="AF227" s="83"/>
      <c r="AG227" s="83"/>
      <c r="AH227" s="83"/>
      <c r="AI227" s="81"/>
      <c r="AJ227" s="81"/>
      <c r="AK227" s="81"/>
      <c r="AL227" s="81"/>
      <c r="AM227" s="82">
        <v>3039.9</v>
      </c>
      <c r="AN227" s="81"/>
      <c r="AO227" s="81"/>
      <c r="AP227" s="81"/>
      <c r="AQ227" s="81"/>
      <c r="AR227" s="81"/>
      <c r="AS227" s="81"/>
      <c r="AT227" s="81"/>
      <c r="AU227" s="81"/>
      <c r="AV227" s="81"/>
      <c r="AW227" s="81"/>
      <c r="AX227" s="81"/>
      <c r="AY227" s="81"/>
      <c r="AZ227" s="81"/>
      <c r="BA227" s="81"/>
      <c r="BB227" s="81"/>
      <c r="BC227" s="81"/>
      <c r="BD227" s="81"/>
      <c r="BE227" s="81"/>
      <c r="BF227" s="81"/>
      <c r="BG227" s="81"/>
      <c r="BH227" s="81"/>
      <c r="BI227" s="81"/>
      <c r="BJ227" s="81"/>
      <c r="BK227" s="82">
        <v>3039.9</v>
      </c>
      <c r="BL227" s="277">
        <v>0</v>
      </c>
      <c r="BM227" s="277">
        <v>0</v>
      </c>
      <c r="BN227" s="81">
        <f t="shared" si="988"/>
        <v>0</v>
      </c>
      <c r="BO227" s="75">
        <f t="shared" si="989"/>
        <v>0</v>
      </c>
      <c r="BP227" s="81">
        <f t="shared" si="990"/>
        <v>0</v>
      </c>
      <c r="BQ227" s="81">
        <f t="shared" si="991"/>
        <v>0</v>
      </c>
      <c r="BR227" s="81">
        <f t="shared" si="992"/>
        <v>0</v>
      </c>
      <c r="BS227" s="81">
        <f t="shared" si="993"/>
        <v>0</v>
      </c>
      <c r="BT227" s="81">
        <f t="shared" si="994"/>
        <v>0</v>
      </c>
      <c r="BU227" s="81">
        <f t="shared" si="995"/>
        <v>0</v>
      </c>
      <c r="BV227" s="81">
        <f t="shared" si="996"/>
        <v>0</v>
      </c>
      <c r="BW227" s="81">
        <f t="shared" si="997"/>
        <v>0</v>
      </c>
      <c r="BX227" s="1"/>
      <c r="BY227" s="1"/>
      <c r="BZ227" s="1"/>
      <c r="CA227" s="1"/>
      <c r="CB227" s="1"/>
      <c r="CC227" s="1"/>
      <c r="CD227" s="1"/>
      <c r="CE227" s="1"/>
      <c r="CF227" s="1"/>
      <c r="CG227" s="1"/>
    </row>
    <row r="228" spans="1:85" ht="15.75" customHeight="1">
      <c r="A228" s="125" t="s">
        <v>495</v>
      </c>
      <c r="B228" s="115"/>
      <c r="C228" s="129" t="s">
        <v>476</v>
      </c>
      <c r="D228" s="126" t="s">
        <v>496</v>
      </c>
      <c r="E228" s="70"/>
      <c r="F228" s="71"/>
      <c r="G228" s="71">
        <f t="shared" si="981"/>
        <v>0</v>
      </c>
      <c r="H228" s="70"/>
      <c r="I228" s="72">
        <f t="shared" si="723"/>
        <v>0</v>
      </c>
      <c r="J228" s="72">
        <f t="shared" si="724"/>
        <v>0</v>
      </c>
      <c r="K228" s="73">
        <v>2639.62</v>
      </c>
      <c r="L228" s="81"/>
      <c r="M228" s="81"/>
      <c r="N228" s="88"/>
      <c r="O228" s="77">
        <f t="shared" ref="O228:Q228" si="1025">AA228+AD228+AG228+AJ228+AM228+AP228+AS228+AV228+AY228+BB228+BE228+BH228</f>
        <v>2639.62</v>
      </c>
      <c r="P228" s="77">
        <f t="shared" si="1025"/>
        <v>0</v>
      </c>
      <c r="Q228" s="77">
        <f t="shared" si="1025"/>
        <v>0</v>
      </c>
      <c r="R228" s="77">
        <f t="shared" ref="R228:T228" si="1026">IF(BK228=0,SUM(AA228+AD228+AG228+AJ228+AM228+AP228+AS228+AV228+AY228+BB228+BE228+BH228),BK228)</f>
        <v>2639.62</v>
      </c>
      <c r="S228" s="77">
        <f t="shared" si="1026"/>
        <v>0</v>
      </c>
      <c r="T228" s="77">
        <f t="shared" si="1026"/>
        <v>0</v>
      </c>
      <c r="U228" s="79">
        <f t="shared" si="984"/>
        <v>0</v>
      </c>
      <c r="V228" s="79">
        <f t="shared" si="985"/>
        <v>0</v>
      </c>
      <c r="W228" s="79">
        <f t="shared" si="986"/>
        <v>0</v>
      </c>
      <c r="X228" s="80">
        <f t="shared" ref="X228:Y228" si="1027">IF(O228&gt;0,O228/K228,0)</f>
        <v>1</v>
      </c>
      <c r="Y228" s="80">
        <f t="shared" si="1027"/>
        <v>0</v>
      </c>
      <c r="Z228" s="80">
        <f t="shared" si="720"/>
        <v>0</v>
      </c>
      <c r="AA228" s="81"/>
      <c r="AB228" s="81"/>
      <c r="AC228" s="81"/>
      <c r="AD228" s="82"/>
      <c r="AE228" s="128"/>
      <c r="AF228" s="83"/>
      <c r="AG228" s="128"/>
      <c r="AH228" s="83"/>
      <c r="AI228" s="81"/>
      <c r="AJ228" s="82">
        <v>2639.62</v>
      </c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1"/>
      <c r="BE228" s="81"/>
      <c r="BF228" s="81"/>
      <c r="BG228" s="81"/>
      <c r="BH228" s="81"/>
      <c r="BI228" s="81"/>
      <c r="BJ228" s="81"/>
      <c r="BK228" s="82">
        <v>2639.62</v>
      </c>
      <c r="BL228" s="277">
        <v>0</v>
      </c>
      <c r="BM228" s="277">
        <v>0</v>
      </c>
      <c r="BN228" s="81">
        <f t="shared" si="988"/>
        <v>0</v>
      </c>
      <c r="BO228" s="75">
        <f t="shared" si="989"/>
        <v>0</v>
      </c>
      <c r="BP228" s="81">
        <f t="shared" si="990"/>
        <v>0</v>
      </c>
      <c r="BQ228" s="81">
        <f t="shared" si="991"/>
        <v>0</v>
      </c>
      <c r="BR228" s="81">
        <f t="shared" si="992"/>
        <v>0</v>
      </c>
      <c r="BS228" s="81">
        <f t="shared" si="993"/>
        <v>0</v>
      </c>
      <c r="BT228" s="81">
        <f t="shared" si="994"/>
        <v>0</v>
      </c>
      <c r="BU228" s="81">
        <f t="shared" si="995"/>
        <v>0</v>
      </c>
      <c r="BV228" s="81">
        <f t="shared" si="996"/>
        <v>0</v>
      </c>
      <c r="BW228" s="81">
        <f t="shared" si="997"/>
        <v>0</v>
      </c>
      <c r="BX228" s="1"/>
      <c r="BY228" s="1"/>
      <c r="BZ228" s="1"/>
      <c r="CA228" s="1"/>
      <c r="CB228" s="1"/>
      <c r="CC228" s="1"/>
      <c r="CD228" s="1"/>
      <c r="CE228" s="1"/>
      <c r="CF228" s="1"/>
      <c r="CG228" s="1"/>
    </row>
    <row r="229" spans="1:85" ht="15.75" customHeight="1">
      <c r="A229" s="125" t="s">
        <v>497</v>
      </c>
      <c r="B229" s="115"/>
      <c r="C229" s="129" t="s">
        <v>476</v>
      </c>
      <c r="D229" s="126" t="s">
        <v>494</v>
      </c>
      <c r="E229" s="70"/>
      <c r="F229" s="71"/>
      <c r="G229" s="71">
        <f t="shared" si="981"/>
        <v>0</v>
      </c>
      <c r="H229" s="70"/>
      <c r="I229" s="72">
        <f t="shared" si="723"/>
        <v>0</v>
      </c>
      <c r="J229" s="72">
        <f t="shared" si="724"/>
        <v>0</v>
      </c>
      <c r="K229" s="73">
        <v>2840</v>
      </c>
      <c r="L229" s="81"/>
      <c r="M229" s="81"/>
      <c r="N229" s="88"/>
      <c r="O229" s="77">
        <f t="shared" ref="O229:Q229" si="1028">AA229+AD229+AG229+AJ229+AM229+AP229+AS229+AV229+AY229+BB229+BE229+BH229</f>
        <v>2840</v>
      </c>
      <c r="P229" s="77">
        <f t="shared" si="1028"/>
        <v>0</v>
      </c>
      <c r="Q229" s="77">
        <f t="shared" si="1028"/>
        <v>0</v>
      </c>
      <c r="R229" s="77">
        <f t="shared" ref="R229:T229" si="1029">IF(BK229=0,SUM(AA229+AD229+AG229+AJ229+AM229+AP229+AS229+AV229+AY229+BB229+BE229+BH229),BK229)</f>
        <v>2840</v>
      </c>
      <c r="S229" s="77">
        <f t="shared" si="1029"/>
        <v>0</v>
      </c>
      <c r="T229" s="77">
        <f t="shared" si="1029"/>
        <v>0</v>
      </c>
      <c r="U229" s="79">
        <f t="shared" si="984"/>
        <v>0</v>
      </c>
      <c r="V229" s="79">
        <f t="shared" si="985"/>
        <v>0</v>
      </c>
      <c r="W229" s="79">
        <f t="shared" si="986"/>
        <v>0</v>
      </c>
      <c r="X229" s="80">
        <f t="shared" ref="X229:Y229" si="1030">IF(O229&gt;0,O229/K229,0)</f>
        <v>1</v>
      </c>
      <c r="Y229" s="80">
        <f t="shared" si="1030"/>
        <v>0</v>
      </c>
      <c r="Z229" s="80">
        <f t="shared" si="720"/>
        <v>0</v>
      </c>
      <c r="AA229" s="81"/>
      <c r="AB229" s="81"/>
      <c r="AC229" s="81"/>
      <c r="AD229" s="82"/>
      <c r="AE229" s="128"/>
      <c r="AF229" s="83"/>
      <c r="AG229" s="128"/>
      <c r="AH229" s="83"/>
      <c r="AI229" s="81"/>
      <c r="AJ229" s="81"/>
      <c r="AK229" s="81"/>
      <c r="AL229" s="81"/>
      <c r="AM229" s="82">
        <v>2840</v>
      </c>
      <c r="AN229" s="81"/>
      <c r="AO229" s="81"/>
      <c r="AP229" s="81"/>
      <c r="AQ229" s="81"/>
      <c r="AR229" s="81"/>
      <c r="AS229" s="81"/>
      <c r="AT229" s="81"/>
      <c r="AU229" s="81"/>
      <c r="AV229" s="81"/>
      <c r="AW229" s="81"/>
      <c r="AX229" s="81"/>
      <c r="AY229" s="81"/>
      <c r="AZ229" s="81"/>
      <c r="BA229" s="81"/>
      <c r="BB229" s="81"/>
      <c r="BC229" s="81"/>
      <c r="BD229" s="81"/>
      <c r="BE229" s="81"/>
      <c r="BF229" s="81"/>
      <c r="BG229" s="81"/>
      <c r="BH229" s="81"/>
      <c r="BI229" s="81"/>
      <c r="BJ229" s="81"/>
      <c r="BK229" s="82">
        <v>2840</v>
      </c>
      <c r="BL229" s="277">
        <v>0</v>
      </c>
      <c r="BM229" s="277">
        <v>0</v>
      </c>
      <c r="BN229" s="81">
        <f t="shared" si="988"/>
        <v>0</v>
      </c>
      <c r="BO229" s="75">
        <f t="shared" si="989"/>
        <v>0</v>
      </c>
      <c r="BP229" s="81">
        <f t="shared" si="990"/>
        <v>0</v>
      </c>
      <c r="BQ229" s="81">
        <f t="shared" si="991"/>
        <v>0</v>
      </c>
      <c r="BR229" s="81">
        <f t="shared" si="992"/>
        <v>0</v>
      </c>
      <c r="BS229" s="81">
        <f t="shared" si="993"/>
        <v>0</v>
      </c>
      <c r="BT229" s="81">
        <f t="shared" si="994"/>
        <v>0</v>
      </c>
      <c r="BU229" s="81">
        <f t="shared" si="995"/>
        <v>0</v>
      </c>
      <c r="BV229" s="81">
        <f t="shared" si="996"/>
        <v>0</v>
      </c>
      <c r="BW229" s="81">
        <f t="shared" si="997"/>
        <v>0</v>
      </c>
      <c r="BX229" s="1"/>
      <c r="BY229" s="1"/>
      <c r="BZ229" s="1"/>
      <c r="CA229" s="1"/>
      <c r="CB229" s="1"/>
      <c r="CC229" s="1"/>
      <c r="CD229" s="1"/>
      <c r="CE229" s="1"/>
      <c r="CF229" s="1"/>
      <c r="CG229" s="1"/>
    </row>
    <row r="230" spans="1:85" ht="15.75" customHeight="1">
      <c r="A230" s="125" t="s">
        <v>498</v>
      </c>
      <c r="B230" s="115"/>
      <c r="C230" s="86" t="s">
        <v>476</v>
      </c>
      <c r="D230" s="126" t="s">
        <v>496</v>
      </c>
      <c r="E230" s="127">
        <v>0</v>
      </c>
      <c r="F230" s="71"/>
      <c r="G230" s="71">
        <f t="shared" si="981"/>
        <v>0</v>
      </c>
      <c r="H230" s="70"/>
      <c r="I230" s="72">
        <f t="shared" si="723"/>
        <v>0</v>
      </c>
      <c r="J230" s="72">
        <f t="shared" si="724"/>
        <v>0</v>
      </c>
      <c r="K230" s="231">
        <v>3589.77</v>
      </c>
      <c r="L230" s="276"/>
      <c r="M230" s="276"/>
      <c r="N230" s="252"/>
      <c r="O230" s="77">
        <f t="shared" ref="O230:Q230" si="1031">AA230+AD230+AG230+AJ230+AM230+AP230+AS230+AV230+AY230+BB230+BE230+BH230</f>
        <v>3589.77</v>
      </c>
      <c r="P230" s="77">
        <f t="shared" si="1031"/>
        <v>0</v>
      </c>
      <c r="Q230" s="77">
        <f t="shared" si="1031"/>
        <v>0</v>
      </c>
      <c r="R230" s="77">
        <f t="shared" ref="R230:T230" si="1032">IF(BK230=0,SUM(AA230+AD230+AG230+AJ230+AM230+AP230+AS230+AV230+AY230+BB230+BE230+BH230),BK230)</f>
        <v>3589.77</v>
      </c>
      <c r="S230" s="77">
        <f t="shared" si="1032"/>
        <v>0</v>
      </c>
      <c r="T230" s="77">
        <f t="shared" si="1032"/>
        <v>0</v>
      </c>
      <c r="U230" s="79">
        <f t="shared" si="984"/>
        <v>0</v>
      </c>
      <c r="V230" s="79">
        <f t="shared" si="985"/>
        <v>0</v>
      </c>
      <c r="W230" s="79">
        <f t="shared" si="986"/>
        <v>0</v>
      </c>
      <c r="X230" s="80">
        <f t="shared" ref="X230:Y230" si="1033">IF(O230&gt;0,O230/K230,0)</f>
        <v>1</v>
      </c>
      <c r="Y230" s="80">
        <f t="shared" si="1033"/>
        <v>0</v>
      </c>
      <c r="Z230" s="80">
        <f t="shared" si="720"/>
        <v>0</v>
      </c>
      <c r="AA230" s="276"/>
      <c r="AB230" s="276"/>
      <c r="AC230" s="276"/>
      <c r="AD230" s="276"/>
      <c r="AE230" s="276"/>
      <c r="AF230" s="276"/>
      <c r="AG230" s="276"/>
      <c r="AH230" s="276"/>
      <c r="AI230" s="276"/>
      <c r="AJ230" s="277">
        <v>3589.77</v>
      </c>
      <c r="AK230" s="276"/>
      <c r="AL230" s="276"/>
      <c r="AM230" s="276"/>
      <c r="AN230" s="276"/>
      <c r="AO230" s="276"/>
      <c r="AP230" s="276"/>
      <c r="AQ230" s="276"/>
      <c r="AR230" s="276"/>
      <c r="AS230" s="276"/>
      <c r="AT230" s="276"/>
      <c r="AU230" s="276"/>
      <c r="AV230" s="276"/>
      <c r="AW230" s="276"/>
      <c r="AX230" s="276"/>
      <c r="AY230" s="276"/>
      <c r="AZ230" s="276"/>
      <c r="BA230" s="276"/>
      <c r="BB230" s="276"/>
      <c r="BC230" s="276"/>
      <c r="BD230" s="276"/>
      <c r="BE230" s="276"/>
      <c r="BF230" s="276"/>
      <c r="BG230" s="276"/>
      <c r="BH230" s="276"/>
      <c r="BI230" s="276"/>
      <c r="BJ230" s="276"/>
      <c r="BK230" s="277">
        <v>3589.77</v>
      </c>
      <c r="BL230" s="277">
        <v>0</v>
      </c>
      <c r="BM230" s="277">
        <v>0</v>
      </c>
      <c r="BN230" s="81">
        <f t="shared" si="988"/>
        <v>0</v>
      </c>
      <c r="BO230" s="75">
        <f t="shared" si="989"/>
        <v>0</v>
      </c>
      <c r="BP230" s="81">
        <f t="shared" si="990"/>
        <v>0</v>
      </c>
      <c r="BQ230" s="81">
        <f t="shared" si="991"/>
        <v>0</v>
      </c>
      <c r="BR230" s="81">
        <f t="shared" si="992"/>
        <v>0</v>
      </c>
      <c r="BS230" s="81">
        <f t="shared" si="993"/>
        <v>0</v>
      </c>
      <c r="BT230" s="81">
        <f t="shared" si="994"/>
        <v>0</v>
      </c>
      <c r="BU230" s="81">
        <f t="shared" si="995"/>
        <v>0</v>
      </c>
      <c r="BV230" s="81">
        <f t="shared" si="996"/>
        <v>0</v>
      </c>
      <c r="BW230" s="81">
        <f t="shared" si="997"/>
        <v>0</v>
      </c>
      <c r="BX230" s="1"/>
      <c r="BY230" s="1"/>
      <c r="BZ230" s="1"/>
      <c r="CA230" s="1"/>
      <c r="CB230" s="1"/>
      <c r="CC230" s="1"/>
      <c r="CD230" s="1"/>
      <c r="CE230" s="1"/>
      <c r="CF230" s="1"/>
      <c r="CG230" s="1"/>
    </row>
    <row r="231" spans="1:85" ht="15.75" customHeight="1">
      <c r="A231" s="125" t="s">
        <v>499</v>
      </c>
      <c r="B231" s="115"/>
      <c r="C231" s="86" t="s">
        <v>476</v>
      </c>
      <c r="D231" s="126" t="s">
        <v>496</v>
      </c>
      <c r="E231" s="70"/>
      <c r="F231" s="71"/>
      <c r="G231" s="71">
        <f t="shared" si="981"/>
        <v>0</v>
      </c>
      <c r="H231" s="70"/>
      <c r="I231" s="72">
        <f t="shared" si="723"/>
        <v>0</v>
      </c>
      <c r="J231" s="72">
        <f t="shared" si="724"/>
        <v>0</v>
      </c>
      <c r="K231" s="231">
        <v>199.98</v>
      </c>
      <c r="L231" s="276"/>
      <c r="M231" s="276"/>
      <c r="N231" s="252"/>
      <c r="O231" s="77">
        <f t="shared" ref="O231:Q231" si="1034">AA231+AD231+AG231+AJ231+AM231+AP231+AS231+AV231+AY231+BB231+BE231+BH231</f>
        <v>199.98</v>
      </c>
      <c r="P231" s="77">
        <f t="shared" si="1034"/>
        <v>0</v>
      </c>
      <c r="Q231" s="77">
        <f t="shared" si="1034"/>
        <v>0</v>
      </c>
      <c r="R231" s="77">
        <f t="shared" ref="R231:T231" si="1035">IF(BK231=0,SUM(AA231+AD231+AG231+AJ231+AM231+AP231+AS231+AV231+AY231+BB231+BE231+BH231),BK231)</f>
        <v>199.98</v>
      </c>
      <c r="S231" s="77">
        <f t="shared" si="1035"/>
        <v>0</v>
      </c>
      <c r="T231" s="77">
        <f t="shared" si="1035"/>
        <v>0</v>
      </c>
      <c r="U231" s="79">
        <f t="shared" si="984"/>
        <v>0</v>
      </c>
      <c r="V231" s="79">
        <f t="shared" si="985"/>
        <v>0</v>
      </c>
      <c r="W231" s="79">
        <f t="shared" si="986"/>
        <v>0</v>
      </c>
      <c r="X231" s="80">
        <f t="shared" ref="X231:Y231" si="1036">IF(O231&gt;0,O231/K231,0)</f>
        <v>1</v>
      </c>
      <c r="Y231" s="80">
        <f t="shared" si="1036"/>
        <v>0</v>
      </c>
      <c r="Z231" s="80">
        <f t="shared" si="720"/>
        <v>0</v>
      </c>
      <c r="AA231" s="276"/>
      <c r="AB231" s="276"/>
      <c r="AC231" s="276"/>
      <c r="AD231" s="276"/>
      <c r="AE231" s="276"/>
      <c r="AF231" s="276"/>
      <c r="AG231" s="276"/>
      <c r="AH231" s="276"/>
      <c r="AI231" s="276"/>
      <c r="AJ231" s="277">
        <v>199.98</v>
      </c>
      <c r="AK231" s="276"/>
      <c r="AL231" s="276"/>
      <c r="AM231" s="276"/>
      <c r="AN231" s="276"/>
      <c r="AO231" s="276"/>
      <c r="AP231" s="276"/>
      <c r="AQ231" s="276"/>
      <c r="AR231" s="276"/>
      <c r="AS231" s="276"/>
      <c r="AT231" s="276"/>
      <c r="AU231" s="276"/>
      <c r="AV231" s="276"/>
      <c r="AW231" s="276"/>
      <c r="AX231" s="276"/>
      <c r="AY231" s="276"/>
      <c r="AZ231" s="276"/>
      <c r="BA231" s="276"/>
      <c r="BB231" s="276"/>
      <c r="BC231" s="276"/>
      <c r="BD231" s="276"/>
      <c r="BE231" s="276"/>
      <c r="BF231" s="276"/>
      <c r="BG231" s="276"/>
      <c r="BH231" s="276"/>
      <c r="BI231" s="276"/>
      <c r="BJ231" s="276"/>
      <c r="BK231" s="277">
        <v>199.98</v>
      </c>
      <c r="BL231" s="277">
        <v>0</v>
      </c>
      <c r="BM231" s="277">
        <v>0</v>
      </c>
      <c r="BN231" s="81">
        <f t="shared" si="988"/>
        <v>0</v>
      </c>
      <c r="BO231" s="75">
        <f t="shared" si="989"/>
        <v>0</v>
      </c>
      <c r="BP231" s="81">
        <f t="shared" si="990"/>
        <v>0</v>
      </c>
      <c r="BQ231" s="81">
        <f t="shared" si="991"/>
        <v>0</v>
      </c>
      <c r="BR231" s="81">
        <f t="shared" si="992"/>
        <v>0</v>
      </c>
      <c r="BS231" s="81">
        <f t="shared" si="993"/>
        <v>0</v>
      </c>
      <c r="BT231" s="81">
        <f t="shared" si="994"/>
        <v>0</v>
      </c>
      <c r="BU231" s="81">
        <f t="shared" si="995"/>
        <v>0</v>
      </c>
      <c r="BV231" s="81">
        <f t="shared" si="996"/>
        <v>0</v>
      </c>
      <c r="BW231" s="81">
        <f t="shared" si="997"/>
        <v>0</v>
      </c>
      <c r="BX231" s="1"/>
      <c r="BY231" s="1"/>
      <c r="BZ231" s="1"/>
      <c r="CA231" s="1"/>
      <c r="CB231" s="1"/>
      <c r="CC231" s="1"/>
      <c r="CD231" s="1"/>
      <c r="CE231" s="1"/>
      <c r="CF231" s="1"/>
      <c r="CG231" s="1"/>
    </row>
    <row r="232" spans="1:85" ht="15.75" customHeight="1">
      <c r="A232" s="125" t="s">
        <v>500</v>
      </c>
      <c r="B232" s="115"/>
      <c r="C232" s="129" t="s">
        <v>476</v>
      </c>
      <c r="D232" s="126" t="s">
        <v>501</v>
      </c>
      <c r="E232" s="70"/>
      <c r="F232" s="71"/>
      <c r="G232" s="71">
        <f t="shared" si="981"/>
        <v>0</v>
      </c>
      <c r="H232" s="70"/>
      <c r="I232" s="72">
        <f t="shared" si="723"/>
        <v>0</v>
      </c>
      <c r="J232" s="72">
        <f t="shared" si="724"/>
        <v>0</v>
      </c>
      <c r="K232" s="73">
        <v>4800</v>
      </c>
      <c r="L232" s="81"/>
      <c r="M232" s="81"/>
      <c r="N232" s="88"/>
      <c r="O232" s="77">
        <f t="shared" ref="O232:Q232" si="1037">AA232+AD232+AG232+AJ232+AM232+AP232+AS232+AV232+AY232+BB232+BE232+BH232</f>
        <v>4800</v>
      </c>
      <c r="P232" s="77">
        <f t="shared" si="1037"/>
        <v>0</v>
      </c>
      <c r="Q232" s="77">
        <f t="shared" si="1037"/>
        <v>0</v>
      </c>
      <c r="R232" s="77">
        <f t="shared" ref="R232:T232" si="1038">IF(BK232=0,SUM(AA232+AD232+AG232+AJ232+AM232+AP232+AS232+AV232+AY232+BB232+BE232+BH232),BK232)</f>
        <v>4800</v>
      </c>
      <c r="S232" s="77">
        <f t="shared" si="1038"/>
        <v>0</v>
      </c>
      <c r="T232" s="77">
        <f t="shared" si="1038"/>
        <v>0</v>
      </c>
      <c r="U232" s="79">
        <f t="shared" si="984"/>
        <v>0</v>
      </c>
      <c r="V232" s="79">
        <f t="shared" si="985"/>
        <v>0</v>
      </c>
      <c r="W232" s="79">
        <f t="shared" si="986"/>
        <v>0</v>
      </c>
      <c r="X232" s="80">
        <f t="shared" ref="X232:Y232" si="1039">IF(O232&gt;0,O232/K232,0)</f>
        <v>1</v>
      </c>
      <c r="Y232" s="80">
        <f t="shared" si="1039"/>
        <v>0</v>
      </c>
      <c r="Z232" s="80">
        <f t="shared" si="720"/>
        <v>0</v>
      </c>
      <c r="AA232" s="81"/>
      <c r="AB232" s="81"/>
      <c r="AC232" s="81"/>
      <c r="AD232" s="82">
        <v>4800</v>
      </c>
      <c r="AE232" s="128"/>
      <c r="AF232" s="83"/>
      <c r="AG232" s="128"/>
      <c r="AH232" s="83"/>
      <c r="AI232" s="81"/>
      <c r="AJ232" s="81"/>
      <c r="AK232" s="81"/>
      <c r="AL232" s="81"/>
      <c r="AM232" s="81"/>
      <c r="AN232" s="81"/>
      <c r="AO232" s="81"/>
      <c r="AP232" s="81"/>
      <c r="AQ232" s="81"/>
      <c r="AR232" s="81"/>
      <c r="AS232" s="81"/>
      <c r="AT232" s="81"/>
      <c r="AU232" s="81"/>
      <c r="AV232" s="81"/>
      <c r="AW232" s="81"/>
      <c r="AX232" s="81"/>
      <c r="AY232" s="81"/>
      <c r="AZ232" s="81"/>
      <c r="BA232" s="81"/>
      <c r="BB232" s="81"/>
      <c r="BC232" s="81"/>
      <c r="BD232" s="81"/>
      <c r="BE232" s="81"/>
      <c r="BF232" s="81"/>
      <c r="BG232" s="81"/>
      <c r="BH232" s="81"/>
      <c r="BI232" s="81"/>
      <c r="BJ232" s="81"/>
      <c r="BK232" s="82">
        <v>4800</v>
      </c>
      <c r="BL232" s="277">
        <v>0</v>
      </c>
      <c r="BM232" s="277">
        <v>0</v>
      </c>
      <c r="BN232" s="81">
        <f t="shared" si="988"/>
        <v>0</v>
      </c>
      <c r="BO232" s="75">
        <f t="shared" si="989"/>
        <v>0</v>
      </c>
      <c r="BP232" s="81">
        <f t="shared" si="990"/>
        <v>0</v>
      </c>
      <c r="BQ232" s="81">
        <f t="shared" si="991"/>
        <v>0</v>
      </c>
      <c r="BR232" s="81">
        <f t="shared" si="992"/>
        <v>0</v>
      </c>
      <c r="BS232" s="81">
        <f t="shared" si="993"/>
        <v>0</v>
      </c>
      <c r="BT232" s="81">
        <f t="shared" si="994"/>
        <v>0</v>
      </c>
      <c r="BU232" s="81">
        <f t="shared" si="995"/>
        <v>0</v>
      </c>
      <c r="BV232" s="81">
        <f t="shared" si="996"/>
        <v>0</v>
      </c>
      <c r="BW232" s="81">
        <f t="shared" si="997"/>
        <v>0</v>
      </c>
      <c r="BX232" s="1"/>
      <c r="BY232" s="1"/>
      <c r="BZ232" s="1"/>
      <c r="CA232" s="1"/>
      <c r="CB232" s="1"/>
      <c r="CC232" s="1"/>
      <c r="CD232" s="1"/>
      <c r="CE232" s="1"/>
      <c r="CF232" s="1"/>
      <c r="CG232" s="1"/>
    </row>
    <row r="233" spans="1:85" ht="15.75" customHeight="1">
      <c r="A233" s="125" t="s">
        <v>502</v>
      </c>
      <c r="B233" s="115"/>
      <c r="C233" s="129" t="s">
        <v>476</v>
      </c>
      <c r="D233" s="126" t="s">
        <v>503</v>
      </c>
      <c r="E233" s="70"/>
      <c r="F233" s="71"/>
      <c r="G233" s="71">
        <f t="shared" si="981"/>
        <v>0</v>
      </c>
      <c r="H233" s="70"/>
      <c r="I233" s="72">
        <f t="shared" si="723"/>
        <v>0</v>
      </c>
      <c r="J233" s="72">
        <f t="shared" si="724"/>
        <v>0</v>
      </c>
      <c r="K233" s="73">
        <f>6000-24.5</f>
        <v>5975.5</v>
      </c>
      <c r="L233" s="81"/>
      <c r="M233" s="81"/>
      <c r="N233" s="88"/>
      <c r="O233" s="77">
        <f t="shared" ref="O233:Q233" si="1040">AA233+AD233+AG233+AJ233+AM233+AP233+AS233+AV233+AY233+BB233+BE233+BH233</f>
        <v>5975.5</v>
      </c>
      <c r="P233" s="77">
        <f t="shared" si="1040"/>
        <v>0</v>
      </c>
      <c r="Q233" s="77">
        <f t="shared" si="1040"/>
        <v>0</v>
      </c>
      <c r="R233" s="77">
        <f t="shared" ref="R233:T233" si="1041">IF(BK233=0,SUM(AA233+AD233+AG233+AJ233+AM233+AP233+AS233+AV233+AY233+BB233+BE233+BH233),BK233)</f>
        <v>5975.5</v>
      </c>
      <c r="S233" s="77">
        <f t="shared" si="1041"/>
        <v>0</v>
      </c>
      <c r="T233" s="77">
        <f t="shared" si="1041"/>
        <v>0</v>
      </c>
      <c r="U233" s="79">
        <f t="shared" si="984"/>
        <v>0</v>
      </c>
      <c r="V233" s="79">
        <f t="shared" si="985"/>
        <v>0</v>
      </c>
      <c r="W233" s="79">
        <f t="shared" si="986"/>
        <v>0</v>
      </c>
      <c r="X233" s="80">
        <f t="shared" ref="X233:Y233" si="1042">IF(O233&gt;0,O233/K233,0)</f>
        <v>1</v>
      </c>
      <c r="Y233" s="80">
        <f t="shared" si="1042"/>
        <v>0</v>
      </c>
      <c r="Z233" s="80">
        <f t="shared" si="720"/>
        <v>0</v>
      </c>
      <c r="AA233" s="81"/>
      <c r="AB233" s="81"/>
      <c r="AC233" s="81"/>
      <c r="AD233" s="82"/>
      <c r="AE233" s="128"/>
      <c r="AF233" s="83"/>
      <c r="AG233" s="128"/>
      <c r="AH233" s="83"/>
      <c r="AI233" s="81"/>
      <c r="AJ233" s="81"/>
      <c r="AK233" s="81"/>
      <c r="AL233" s="81"/>
      <c r="AM233" s="81"/>
      <c r="AN233" s="81"/>
      <c r="AO233" s="81"/>
      <c r="AP233" s="81"/>
      <c r="AQ233" s="81"/>
      <c r="AR233" s="81"/>
      <c r="AS233" s="81"/>
      <c r="AT233" s="81"/>
      <c r="AU233" s="81"/>
      <c r="AV233" s="81"/>
      <c r="AW233" s="81"/>
      <c r="AX233" s="81"/>
      <c r="AY233" s="81"/>
      <c r="AZ233" s="81"/>
      <c r="BA233" s="81"/>
      <c r="BB233" s="81"/>
      <c r="BC233" s="81"/>
      <c r="BD233" s="81"/>
      <c r="BE233" s="81"/>
      <c r="BF233" s="81"/>
      <c r="BG233" s="81"/>
      <c r="BH233" s="81">
        <f>5975.5</f>
        <v>5975.5</v>
      </c>
      <c r="BI233" s="81"/>
      <c r="BJ233" s="81"/>
      <c r="BK233" s="82">
        <v>5975.5</v>
      </c>
      <c r="BL233" s="277">
        <v>0</v>
      </c>
      <c r="BM233" s="277">
        <v>0</v>
      </c>
      <c r="BN233" s="81">
        <f t="shared" si="988"/>
        <v>0</v>
      </c>
      <c r="BO233" s="75">
        <f t="shared" si="989"/>
        <v>0</v>
      </c>
      <c r="BP233" s="81">
        <f t="shared" si="990"/>
        <v>0</v>
      </c>
      <c r="BQ233" s="81">
        <f t="shared" si="991"/>
        <v>0</v>
      </c>
      <c r="BR233" s="81">
        <f t="shared" si="992"/>
        <v>0</v>
      </c>
      <c r="BS233" s="81">
        <f t="shared" si="993"/>
        <v>0</v>
      </c>
      <c r="BT233" s="81">
        <f t="shared" si="994"/>
        <v>0</v>
      </c>
      <c r="BU233" s="81">
        <f t="shared" si="995"/>
        <v>0</v>
      </c>
      <c r="BV233" s="81">
        <f t="shared" si="996"/>
        <v>0</v>
      </c>
      <c r="BW233" s="81">
        <f t="shared" si="997"/>
        <v>0</v>
      </c>
      <c r="BX233" s="1"/>
      <c r="BY233" s="1"/>
      <c r="BZ233" s="1"/>
      <c r="CA233" s="1"/>
      <c r="CB233" s="1"/>
      <c r="CC233" s="1"/>
      <c r="CD233" s="1"/>
      <c r="CE233" s="1"/>
      <c r="CF233" s="1"/>
      <c r="CG233" s="1"/>
    </row>
    <row r="234" spans="1:85" ht="15.75" customHeight="1">
      <c r="A234" s="125" t="s">
        <v>504</v>
      </c>
      <c r="B234" s="115"/>
      <c r="C234" s="129" t="s">
        <v>146</v>
      </c>
      <c r="D234" s="126" t="s">
        <v>505</v>
      </c>
      <c r="E234" s="70"/>
      <c r="F234" s="71"/>
      <c r="G234" s="71">
        <f t="shared" si="981"/>
        <v>0</v>
      </c>
      <c r="H234" s="70"/>
      <c r="I234" s="72">
        <f t="shared" si="723"/>
        <v>0</v>
      </c>
      <c r="J234" s="72">
        <f t="shared" si="724"/>
        <v>0</v>
      </c>
      <c r="K234" s="73">
        <f>104+104</f>
        <v>208</v>
      </c>
      <c r="L234" s="81"/>
      <c r="M234" s="81"/>
      <c r="N234" s="88"/>
      <c r="O234" s="77">
        <f t="shared" ref="O234:Q234" si="1043">AA234+AD234+AG234+AJ234+AM234+AP234+AS234+AV234+AY234+BB234+BE234+BH234</f>
        <v>208</v>
      </c>
      <c r="P234" s="77">
        <f t="shared" si="1043"/>
        <v>0</v>
      </c>
      <c r="Q234" s="77">
        <f t="shared" si="1043"/>
        <v>0</v>
      </c>
      <c r="R234" s="77">
        <f t="shared" ref="R234:T234" si="1044">IF(BK234=0,SUM(AA234+AD234+AG234+AJ234+AM234+AP234+AS234+AV234+AY234+BB234+BE234+BH234),BK234)</f>
        <v>208</v>
      </c>
      <c r="S234" s="77">
        <f t="shared" si="1044"/>
        <v>0</v>
      </c>
      <c r="T234" s="77">
        <f t="shared" si="1044"/>
        <v>0</v>
      </c>
      <c r="U234" s="79">
        <f t="shared" si="984"/>
        <v>0</v>
      </c>
      <c r="V234" s="79">
        <f t="shared" si="985"/>
        <v>0</v>
      </c>
      <c r="W234" s="79">
        <f t="shared" si="986"/>
        <v>0</v>
      </c>
      <c r="X234" s="80">
        <f t="shared" ref="X234:Y234" si="1045">IF(O234&gt;0,O234/K234,0)</f>
        <v>1</v>
      </c>
      <c r="Y234" s="80">
        <f t="shared" si="1045"/>
        <v>0</v>
      </c>
      <c r="Z234" s="80">
        <f t="shared" si="720"/>
        <v>0</v>
      </c>
      <c r="AA234" s="81"/>
      <c r="AB234" s="81"/>
      <c r="AC234" s="81"/>
      <c r="AD234" s="82"/>
      <c r="AE234" s="128"/>
      <c r="AF234" s="83"/>
      <c r="AG234" s="128">
        <v>208</v>
      </c>
      <c r="AH234" s="83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81"/>
      <c r="AZ234" s="81"/>
      <c r="BA234" s="81"/>
      <c r="BB234" s="81"/>
      <c r="BC234" s="81"/>
      <c r="BD234" s="81"/>
      <c r="BE234" s="81"/>
      <c r="BF234" s="81"/>
      <c r="BG234" s="81"/>
      <c r="BH234" s="81"/>
      <c r="BI234" s="81"/>
      <c r="BJ234" s="81"/>
      <c r="BK234" s="82">
        <v>208</v>
      </c>
      <c r="BL234" s="277">
        <v>0</v>
      </c>
      <c r="BM234" s="277">
        <v>0</v>
      </c>
      <c r="BN234" s="81">
        <f t="shared" si="988"/>
        <v>0</v>
      </c>
      <c r="BO234" s="75">
        <f t="shared" si="989"/>
        <v>0</v>
      </c>
      <c r="BP234" s="81">
        <f t="shared" si="990"/>
        <v>0</v>
      </c>
      <c r="BQ234" s="81">
        <f t="shared" si="991"/>
        <v>0</v>
      </c>
      <c r="BR234" s="81">
        <f t="shared" si="992"/>
        <v>0</v>
      </c>
      <c r="BS234" s="81">
        <f t="shared" si="993"/>
        <v>0</v>
      </c>
      <c r="BT234" s="81">
        <f t="shared" si="994"/>
        <v>0</v>
      </c>
      <c r="BU234" s="81">
        <f t="shared" si="995"/>
        <v>0</v>
      </c>
      <c r="BV234" s="81">
        <f t="shared" si="996"/>
        <v>0</v>
      </c>
      <c r="BW234" s="81">
        <f t="shared" si="997"/>
        <v>0</v>
      </c>
      <c r="BX234" s="1"/>
      <c r="BY234" s="1"/>
      <c r="BZ234" s="1"/>
      <c r="CA234" s="1"/>
      <c r="CB234" s="1"/>
      <c r="CC234" s="1"/>
      <c r="CD234" s="1"/>
      <c r="CE234" s="1"/>
      <c r="CF234" s="1"/>
      <c r="CG234" s="1"/>
    </row>
    <row r="235" spans="1:85" ht="15.75" customHeight="1">
      <c r="A235" s="125" t="s">
        <v>506</v>
      </c>
      <c r="B235" s="115"/>
      <c r="C235" s="129" t="s">
        <v>507</v>
      </c>
      <c r="D235" s="126" t="s">
        <v>508</v>
      </c>
      <c r="E235" s="70"/>
      <c r="F235" s="71"/>
      <c r="G235" s="71">
        <f t="shared" si="981"/>
        <v>0</v>
      </c>
      <c r="H235" s="70"/>
      <c r="I235" s="72">
        <f t="shared" si="723"/>
        <v>0</v>
      </c>
      <c r="J235" s="72">
        <f t="shared" si="724"/>
        <v>0</v>
      </c>
      <c r="K235" s="73">
        <v>1110</v>
      </c>
      <c r="L235" s="81"/>
      <c r="M235" s="81"/>
      <c r="N235" s="88"/>
      <c r="O235" s="77">
        <f t="shared" ref="O235:Q235" si="1046">AA235+AD235+AG235+AJ235+AM235+AP235+AS235+AV235+AY235+BB235+BE235+BH235</f>
        <v>1110</v>
      </c>
      <c r="P235" s="77">
        <f t="shared" si="1046"/>
        <v>0</v>
      </c>
      <c r="Q235" s="77">
        <f t="shared" si="1046"/>
        <v>0</v>
      </c>
      <c r="R235" s="77">
        <f t="shared" ref="R235:T235" si="1047">IF(BK235=0,SUM(AA235+AD235+AG235+AJ235+AM235+AP235+AS235+AV235+AY235+BB235+BE235+BH235),BK235)</f>
        <v>1110</v>
      </c>
      <c r="S235" s="77">
        <f t="shared" si="1047"/>
        <v>0</v>
      </c>
      <c r="T235" s="77">
        <f t="shared" si="1047"/>
        <v>0</v>
      </c>
      <c r="U235" s="79">
        <f t="shared" si="984"/>
        <v>0</v>
      </c>
      <c r="V235" s="79">
        <f t="shared" si="985"/>
        <v>0</v>
      </c>
      <c r="W235" s="79">
        <f t="shared" si="986"/>
        <v>0</v>
      </c>
      <c r="X235" s="80">
        <f t="shared" ref="X235:Y235" si="1048">IF(O235&gt;0,O235/K235,0)</f>
        <v>1</v>
      </c>
      <c r="Y235" s="80">
        <f t="shared" si="1048"/>
        <v>0</v>
      </c>
      <c r="Z235" s="80">
        <f t="shared" si="720"/>
        <v>0</v>
      </c>
      <c r="AA235" s="81"/>
      <c r="AB235" s="81"/>
      <c r="AC235" s="81"/>
      <c r="AD235" s="82">
        <v>1110</v>
      </c>
      <c r="AE235" s="128"/>
      <c r="AF235" s="83"/>
      <c r="AG235" s="83"/>
      <c r="AH235" s="83"/>
      <c r="AI235" s="81"/>
      <c r="AJ235" s="81"/>
      <c r="AK235" s="81"/>
      <c r="AL235" s="81"/>
      <c r="AM235" s="81"/>
      <c r="AN235" s="81"/>
      <c r="AO235" s="81"/>
      <c r="AP235" s="81"/>
      <c r="AQ235" s="81"/>
      <c r="AR235" s="81"/>
      <c r="AS235" s="81"/>
      <c r="AT235" s="81"/>
      <c r="AU235" s="81"/>
      <c r="AV235" s="81"/>
      <c r="AW235" s="81"/>
      <c r="AX235" s="81"/>
      <c r="AY235" s="81"/>
      <c r="AZ235" s="81"/>
      <c r="BA235" s="81"/>
      <c r="BB235" s="81"/>
      <c r="BC235" s="81"/>
      <c r="BD235" s="81"/>
      <c r="BE235" s="81"/>
      <c r="BF235" s="81"/>
      <c r="BG235" s="81"/>
      <c r="BH235" s="81"/>
      <c r="BI235" s="81"/>
      <c r="BJ235" s="81"/>
      <c r="BK235" s="82">
        <v>1110</v>
      </c>
      <c r="BL235" s="277">
        <v>0</v>
      </c>
      <c r="BM235" s="277">
        <v>0</v>
      </c>
      <c r="BN235" s="81">
        <f t="shared" si="988"/>
        <v>0</v>
      </c>
      <c r="BO235" s="75">
        <f t="shared" si="989"/>
        <v>0</v>
      </c>
      <c r="BP235" s="81">
        <f t="shared" si="990"/>
        <v>0</v>
      </c>
      <c r="BQ235" s="81">
        <f t="shared" si="991"/>
        <v>0</v>
      </c>
      <c r="BR235" s="81">
        <f t="shared" si="992"/>
        <v>0</v>
      </c>
      <c r="BS235" s="81">
        <f t="shared" si="993"/>
        <v>0</v>
      </c>
      <c r="BT235" s="81">
        <f t="shared" si="994"/>
        <v>0</v>
      </c>
      <c r="BU235" s="81">
        <f t="shared" si="995"/>
        <v>0</v>
      </c>
      <c r="BV235" s="81">
        <f t="shared" si="996"/>
        <v>0</v>
      </c>
      <c r="BW235" s="81">
        <f t="shared" si="997"/>
        <v>0</v>
      </c>
      <c r="BX235" s="1"/>
      <c r="BY235" s="1"/>
      <c r="BZ235" s="1"/>
      <c r="CA235" s="1"/>
      <c r="CB235" s="1"/>
      <c r="CC235" s="1"/>
      <c r="CD235" s="1"/>
      <c r="CE235" s="1"/>
      <c r="CF235" s="1"/>
      <c r="CG235" s="1"/>
    </row>
    <row r="236" spans="1:85" ht="15.75" customHeight="1">
      <c r="A236" s="125" t="s">
        <v>509</v>
      </c>
      <c r="B236" s="115"/>
      <c r="C236" s="129" t="s">
        <v>221</v>
      </c>
      <c r="D236" s="126" t="s">
        <v>510</v>
      </c>
      <c r="E236" s="70"/>
      <c r="F236" s="71"/>
      <c r="G236" s="71">
        <f t="shared" si="981"/>
        <v>0</v>
      </c>
      <c r="H236" s="70"/>
      <c r="I236" s="72">
        <f t="shared" si="723"/>
        <v>0</v>
      </c>
      <c r="J236" s="72">
        <f t="shared" si="724"/>
        <v>0</v>
      </c>
      <c r="K236" s="73">
        <v>599.98</v>
      </c>
      <c r="L236" s="81"/>
      <c r="M236" s="81"/>
      <c r="N236" s="88"/>
      <c r="O236" s="77">
        <f t="shared" ref="O236:Q236" si="1049">AA236+AD236+AG236+AJ236+AM236+AP236+AS236+AV236+AY236+BB236+BE236+BH236</f>
        <v>599.98</v>
      </c>
      <c r="P236" s="77">
        <f t="shared" si="1049"/>
        <v>0</v>
      </c>
      <c r="Q236" s="77">
        <f t="shared" si="1049"/>
        <v>0</v>
      </c>
      <c r="R236" s="77">
        <f t="shared" ref="R236:T236" si="1050">IF(BK236=0,SUM(AA236+AD236+AG236+AJ236+AM236+AP236+AS236+AV236+AY236+BB236+BE236+BH236),BK236)</f>
        <v>599.98</v>
      </c>
      <c r="S236" s="77">
        <f t="shared" si="1050"/>
        <v>0</v>
      </c>
      <c r="T236" s="77">
        <f t="shared" si="1050"/>
        <v>0</v>
      </c>
      <c r="U236" s="79">
        <f t="shared" si="984"/>
        <v>0</v>
      </c>
      <c r="V236" s="79">
        <f t="shared" si="985"/>
        <v>0</v>
      </c>
      <c r="W236" s="79">
        <f t="shared" si="986"/>
        <v>0</v>
      </c>
      <c r="X236" s="80">
        <f t="shared" ref="X236:Y236" si="1051">IF(O236&gt;0,O236/K236,0)</f>
        <v>1</v>
      </c>
      <c r="Y236" s="80">
        <f t="shared" si="1051"/>
        <v>0</v>
      </c>
      <c r="Z236" s="80">
        <f t="shared" si="720"/>
        <v>0</v>
      </c>
      <c r="AA236" s="81"/>
      <c r="AB236" s="81"/>
      <c r="AC236" s="81"/>
      <c r="AD236" s="81"/>
      <c r="AE236" s="128"/>
      <c r="AF236" s="83"/>
      <c r="AG236" s="128">
        <v>599.98</v>
      </c>
      <c r="AH236" s="83"/>
      <c r="AI236" s="81"/>
      <c r="AJ236" s="81"/>
      <c r="AK236" s="81"/>
      <c r="AL236" s="81"/>
      <c r="AM236" s="81"/>
      <c r="AN236" s="81"/>
      <c r="AO236" s="81"/>
      <c r="AP236" s="81"/>
      <c r="AQ236" s="81"/>
      <c r="AR236" s="81"/>
      <c r="AS236" s="81"/>
      <c r="AT236" s="81"/>
      <c r="AU236" s="81"/>
      <c r="AV236" s="81"/>
      <c r="AW236" s="81"/>
      <c r="AX236" s="81"/>
      <c r="AY236" s="81"/>
      <c r="AZ236" s="81"/>
      <c r="BA236" s="81"/>
      <c r="BB236" s="81"/>
      <c r="BC236" s="81"/>
      <c r="BD236" s="81"/>
      <c r="BE236" s="81"/>
      <c r="BF236" s="81"/>
      <c r="BG236" s="81"/>
      <c r="BH236" s="81"/>
      <c r="BI236" s="81"/>
      <c r="BJ236" s="81"/>
      <c r="BK236" s="82">
        <v>599.98</v>
      </c>
      <c r="BL236" s="277">
        <v>0</v>
      </c>
      <c r="BM236" s="277">
        <v>0</v>
      </c>
      <c r="BN236" s="81">
        <f t="shared" si="988"/>
        <v>0</v>
      </c>
      <c r="BO236" s="75">
        <f t="shared" si="989"/>
        <v>0</v>
      </c>
      <c r="BP236" s="81">
        <f t="shared" si="990"/>
        <v>0</v>
      </c>
      <c r="BQ236" s="81">
        <f t="shared" si="991"/>
        <v>0</v>
      </c>
      <c r="BR236" s="81">
        <f t="shared" si="992"/>
        <v>0</v>
      </c>
      <c r="BS236" s="81">
        <f t="shared" si="993"/>
        <v>0</v>
      </c>
      <c r="BT236" s="81">
        <f t="shared" si="994"/>
        <v>0</v>
      </c>
      <c r="BU236" s="81">
        <f t="shared" si="995"/>
        <v>0</v>
      </c>
      <c r="BV236" s="81">
        <f t="shared" si="996"/>
        <v>0</v>
      </c>
      <c r="BW236" s="81">
        <f t="shared" si="997"/>
        <v>0</v>
      </c>
      <c r="BX236" s="1"/>
      <c r="BY236" s="1"/>
      <c r="BZ236" s="1"/>
      <c r="CA236" s="1"/>
      <c r="CB236" s="1"/>
      <c r="CC236" s="1"/>
      <c r="CD236" s="1"/>
      <c r="CE236" s="1"/>
      <c r="CF236" s="1"/>
      <c r="CG236" s="1"/>
    </row>
    <row r="237" spans="1:85" ht="15.75">
      <c r="A237" s="109"/>
      <c r="B237" s="110"/>
      <c r="C237" s="111"/>
      <c r="D237" s="112" t="s">
        <v>330</v>
      </c>
      <c r="E237" s="58">
        <f t="shared" ref="E237:H237" si="1052">SUM(E238:E245)</f>
        <v>100000</v>
      </c>
      <c r="F237" s="58">
        <f t="shared" si="1052"/>
        <v>0</v>
      </c>
      <c r="G237" s="58">
        <f t="shared" si="1052"/>
        <v>100000</v>
      </c>
      <c r="H237" s="58">
        <f t="shared" si="1052"/>
        <v>0</v>
      </c>
      <c r="I237" s="60">
        <f t="shared" si="723"/>
        <v>0.82069589999999992</v>
      </c>
      <c r="J237" s="60">
        <f t="shared" si="724"/>
        <v>0.59001029999999999</v>
      </c>
      <c r="K237" s="58">
        <f t="shared" ref="K237:W237" si="1053">SUM(K238:K245)</f>
        <v>82069.59</v>
      </c>
      <c r="L237" s="58">
        <f t="shared" si="1053"/>
        <v>24815.809999999998</v>
      </c>
      <c r="M237" s="58">
        <f t="shared" si="1053"/>
        <v>0</v>
      </c>
      <c r="N237" s="58">
        <f t="shared" si="1053"/>
        <v>0</v>
      </c>
      <c r="O237" s="58">
        <f t="shared" si="1053"/>
        <v>59001.03</v>
      </c>
      <c r="P237" s="58">
        <f t="shared" si="1053"/>
        <v>24815.81</v>
      </c>
      <c r="Q237" s="58">
        <f t="shared" si="1053"/>
        <v>0</v>
      </c>
      <c r="R237" s="58">
        <f t="shared" si="1053"/>
        <v>59001.03</v>
      </c>
      <c r="S237" s="58">
        <f t="shared" si="1053"/>
        <v>24815.81</v>
      </c>
      <c r="T237" s="58">
        <f t="shared" si="1053"/>
        <v>0</v>
      </c>
      <c r="U237" s="58">
        <f t="shared" si="1053"/>
        <v>23068.560000000001</v>
      </c>
      <c r="V237" s="58">
        <f t="shared" si="1053"/>
        <v>0</v>
      </c>
      <c r="W237" s="58">
        <f t="shared" si="1053"/>
        <v>0</v>
      </c>
      <c r="X237" s="63">
        <f t="shared" ref="X237:Y237" si="1054">IF(O237&gt;0,O237/K237,0)</f>
        <v>0.71891464304866148</v>
      </c>
      <c r="Y237" s="63">
        <f t="shared" si="1054"/>
        <v>1.0000000000000002</v>
      </c>
      <c r="Z237" s="63">
        <f t="shared" si="720"/>
        <v>0</v>
      </c>
      <c r="AA237" s="58">
        <f t="shared" ref="AA237:BW237" si="1055">SUM(AA238:AA245)</f>
        <v>0</v>
      </c>
      <c r="AB237" s="58">
        <f t="shared" si="1055"/>
        <v>0</v>
      </c>
      <c r="AC237" s="58">
        <f t="shared" si="1055"/>
        <v>0</v>
      </c>
      <c r="AD237" s="58">
        <f t="shared" si="1055"/>
        <v>0</v>
      </c>
      <c r="AE237" s="58">
        <f t="shared" si="1055"/>
        <v>15168.29</v>
      </c>
      <c r="AF237" s="58">
        <f t="shared" si="1055"/>
        <v>0</v>
      </c>
      <c r="AG237" s="58">
        <f t="shared" si="1055"/>
        <v>0</v>
      </c>
      <c r="AH237" s="58">
        <f t="shared" si="1055"/>
        <v>-4337.84</v>
      </c>
      <c r="AI237" s="58">
        <f t="shared" si="1055"/>
        <v>0</v>
      </c>
      <c r="AJ237" s="58">
        <f t="shared" si="1055"/>
        <v>4376.99</v>
      </c>
      <c r="AK237" s="58">
        <f t="shared" si="1055"/>
        <v>7976.24</v>
      </c>
      <c r="AL237" s="58">
        <f t="shared" si="1055"/>
        <v>0</v>
      </c>
      <c r="AM237" s="58">
        <f t="shared" si="1055"/>
        <v>3396</v>
      </c>
      <c r="AN237" s="58">
        <f t="shared" si="1055"/>
        <v>1135.52</v>
      </c>
      <c r="AO237" s="58">
        <f t="shared" si="1055"/>
        <v>0</v>
      </c>
      <c r="AP237" s="58">
        <f t="shared" si="1055"/>
        <v>19626</v>
      </c>
      <c r="AQ237" s="58">
        <f t="shared" si="1055"/>
        <v>554.52</v>
      </c>
      <c r="AR237" s="58">
        <f t="shared" si="1055"/>
        <v>0</v>
      </c>
      <c r="AS237" s="58">
        <f t="shared" si="1055"/>
        <v>3396</v>
      </c>
      <c r="AT237" s="58">
        <f t="shared" si="1055"/>
        <v>554.52</v>
      </c>
      <c r="AU237" s="58">
        <f t="shared" si="1055"/>
        <v>0</v>
      </c>
      <c r="AV237" s="58">
        <f t="shared" si="1055"/>
        <v>6623</v>
      </c>
      <c r="AW237" s="58">
        <f t="shared" si="1055"/>
        <v>2655.52</v>
      </c>
      <c r="AX237" s="58">
        <f t="shared" si="1055"/>
        <v>0</v>
      </c>
      <c r="AY237" s="58">
        <f t="shared" si="1055"/>
        <v>6226</v>
      </c>
      <c r="AZ237" s="58">
        <f t="shared" si="1055"/>
        <v>554.52</v>
      </c>
      <c r="BA237" s="58">
        <f t="shared" si="1055"/>
        <v>0</v>
      </c>
      <c r="BB237" s="58">
        <f t="shared" si="1055"/>
        <v>3396</v>
      </c>
      <c r="BC237" s="58">
        <f t="shared" si="1055"/>
        <v>554.52</v>
      </c>
      <c r="BD237" s="58">
        <f t="shared" si="1055"/>
        <v>0</v>
      </c>
      <c r="BE237" s="58">
        <f t="shared" si="1055"/>
        <v>3950.52</v>
      </c>
      <c r="BF237" s="58">
        <f t="shared" si="1055"/>
        <v>0</v>
      </c>
      <c r="BG237" s="58">
        <f t="shared" si="1055"/>
        <v>0</v>
      </c>
      <c r="BH237" s="58">
        <f t="shared" si="1055"/>
        <v>8010.52</v>
      </c>
      <c r="BI237" s="58">
        <f t="shared" si="1055"/>
        <v>0</v>
      </c>
      <c r="BJ237" s="58">
        <f t="shared" si="1055"/>
        <v>0</v>
      </c>
      <c r="BK237" s="58">
        <f t="shared" si="1055"/>
        <v>59001.03</v>
      </c>
      <c r="BL237" s="58">
        <f t="shared" si="1055"/>
        <v>0</v>
      </c>
      <c r="BM237" s="58">
        <f t="shared" si="1055"/>
        <v>0</v>
      </c>
      <c r="BN237" s="58">
        <f t="shared" si="1055"/>
        <v>0</v>
      </c>
      <c r="BO237" s="58">
        <f t="shared" si="1055"/>
        <v>0</v>
      </c>
      <c r="BP237" s="58">
        <f t="shared" si="1055"/>
        <v>0</v>
      </c>
      <c r="BQ237" s="58">
        <f t="shared" si="1055"/>
        <v>23068.560000000001</v>
      </c>
      <c r="BR237" s="58">
        <f t="shared" si="1055"/>
        <v>0</v>
      </c>
      <c r="BS237" s="58">
        <f t="shared" si="1055"/>
        <v>23068.560000000001</v>
      </c>
      <c r="BT237" s="58">
        <f t="shared" si="1055"/>
        <v>0</v>
      </c>
      <c r="BU237" s="58">
        <f t="shared" si="1055"/>
        <v>0</v>
      </c>
      <c r="BV237" s="58">
        <f t="shared" si="1055"/>
        <v>23068.560000000001</v>
      </c>
      <c r="BW237" s="58">
        <f t="shared" si="1055"/>
        <v>23068.560000000001</v>
      </c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</row>
    <row r="238" spans="1:85" ht="15.75" customHeight="1">
      <c r="A238" s="125" t="s">
        <v>511</v>
      </c>
      <c r="B238" s="115" t="s">
        <v>512</v>
      </c>
      <c r="C238" s="86" t="s">
        <v>513</v>
      </c>
      <c r="D238" s="87" t="s">
        <v>514</v>
      </c>
      <c r="E238" s="70"/>
      <c r="F238" s="71"/>
      <c r="G238" s="71">
        <f t="shared" ref="G238:G245" si="1056">E238-F238</f>
        <v>0</v>
      </c>
      <c r="H238" s="70"/>
      <c r="I238" s="72">
        <f t="shared" si="723"/>
        <v>0</v>
      </c>
      <c r="J238" s="72">
        <f t="shared" si="724"/>
        <v>0</v>
      </c>
      <c r="K238" s="73">
        <f>5000+5000+7000</f>
        <v>17000</v>
      </c>
      <c r="L238" s="81">
        <v>2231</v>
      </c>
      <c r="M238" s="82">
        <f>985-985</f>
        <v>0</v>
      </c>
      <c r="N238" s="88"/>
      <c r="O238" s="77">
        <f t="shared" ref="O238:Q238" si="1057">AA238+AD238+AG238+AJ238+AM238+AP238+AS238+AV238+AY238+BB238+BE238+BH238</f>
        <v>3804</v>
      </c>
      <c r="P238" s="77">
        <f t="shared" si="1057"/>
        <v>2231</v>
      </c>
      <c r="Q238" s="77">
        <f t="shared" si="1057"/>
        <v>0</v>
      </c>
      <c r="R238" s="77">
        <f t="shared" ref="R238:T238" si="1058">IF(BK238=0,SUM(AA238+AD238+AG238+AJ238+AM238+AP238+AS238+AV238+AY238+BB238+BE238+BH238),BK238)</f>
        <v>3804</v>
      </c>
      <c r="S238" s="77">
        <f t="shared" si="1058"/>
        <v>2231</v>
      </c>
      <c r="T238" s="77">
        <f t="shared" si="1058"/>
        <v>0</v>
      </c>
      <c r="U238" s="78">
        <f t="shared" ref="U238:U245" si="1059">K238-O238</f>
        <v>13196</v>
      </c>
      <c r="V238" s="79">
        <f t="shared" ref="V238:V245" si="1060">L238-M238-S238</f>
        <v>0</v>
      </c>
      <c r="W238" s="79">
        <f t="shared" ref="W238:W245" si="1061">N238-Q238</f>
        <v>0</v>
      </c>
      <c r="X238" s="80">
        <f t="shared" ref="X238:Y238" si="1062">IF(O238&gt;0,O238/K238,0)</f>
        <v>0.22376470588235295</v>
      </c>
      <c r="Y238" s="80">
        <f t="shared" si="1062"/>
        <v>1</v>
      </c>
      <c r="Z238" s="80">
        <f t="shared" si="720"/>
        <v>0</v>
      </c>
      <c r="AA238" s="81"/>
      <c r="AB238" s="81"/>
      <c r="AC238" s="81"/>
      <c r="AD238" s="81"/>
      <c r="AE238" s="128">
        <v>582</v>
      </c>
      <c r="AF238" s="83"/>
      <c r="AG238" s="83"/>
      <c r="AH238" s="83"/>
      <c r="AI238" s="81"/>
      <c r="AJ238" s="81"/>
      <c r="AK238" s="82">
        <v>83</v>
      </c>
      <c r="AL238" s="81"/>
      <c r="AM238" s="81"/>
      <c r="AN238" s="82">
        <v>581</v>
      </c>
      <c r="AO238" s="81"/>
      <c r="AP238" s="81"/>
      <c r="AQ238" s="81"/>
      <c r="AR238" s="81"/>
      <c r="AS238" s="81"/>
      <c r="AT238" s="81"/>
      <c r="AU238" s="81"/>
      <c r="AV238" s="82">
        <v>974</v>
      </c>
      <c r="AW238" s="82">
        <v>985</v>
      </c>
      <c r="AX238" s="81"/>
      <c r="AY238" s="81">
        <f>2830</f>
        <v>2830</v>
      </c>
      <c r="AZ238" s="81"/>
      <c r="BA238" s="81"/>
      <c r="BB238" s="81"/>
      <c r="BC238" s="81"/>
      <c r="BD238" s="81"/>
      <c r="BE238" s="81"/>
      <c r="BF238" s="81"/>
      <c r="BG238" s="81"/>
      <c r="BH238" s="81"/>
      <c r="BI238" s="81"/>
      <c r="BJ238" s="81"/>
      <c r="BK238" s="82">
        <v>3804</v>
      </c>
      <c r="BL238" s="82">
        <v>0</v>
      </c>
      <c r="BM238" s="82">
        <v>0</v>
      </c>
      <c r="BN238" s="81">
        <f t="shared" ref="BN238:BN245" si="1063">IF(O238-BK238&gt;0,O238-BK238,0)</f>
        <v>0</v>
      </c>
      <c r="BO238" s="75">
        <f t="shared" ref="BO238:BO245" si="1064">IF(Q238-BM238&gt;0,Q238-BM238,0)</f>
        <v>0</v>
      </c>
      <c r="BP238" s="81">
        <f t="shared" ref="BP238:BP245" si="1065">IF(BN238+BO238&gt;0,BN238+BO238,0)</f>
        <v>0</v>
      </c>
      <c r="BQ238" s="81">
        <f t="shared" ref="BQ238:BQ245" si="1066">IF(U238=0,0,U238)</f>
        <v>13196</v>
      </c>
      <c r="BR238" s="81">
        <f t="shared" ref="BR238:BR245" si="1067">IF(W238=0,0,W238)</f>
        <v>0</v>
      </c>
      <c r="BS238" s="81">
        <f t="shared" ref="BS238:BS245" si="1068">IF(BQ238+BR238&gt;0,BQ238+BR238,0)</f>
        <v>13196</v>
      </c>
      <c r="BT238" s="81">
        <f t="shared" ref="BT238:BT245" si="1069">IF(V238&gt;0,V238,0)</f>
        <v>0</v>
      </c>
      <c r="BU238" s="81">
        <f t="shared" ref="BU238:BU245" si="1070">IF(BP238=0,0,BP238)</f>
        <v>0</v>
      </c>
      <c r="BV238" s="81">
        <f t="shared" ref="BV238:BV245" si="1071">IF(BS238=0,0,BS238)</f>
        <v>13196</v>
      </c>
      <c r="BW238" s="81">
        <f t="shared" ref="BW238:BW245" si="1072">IF(BP238+BT238+BV238&gt;0,BP238+BT238+BV238,0)</f>
        <v>13196</v>
      </c>
      <c r="BX238" s="1"/>
      <c r="BY238" s="1"/>
      <c r="BZ238" s="1"/>
      <c r="CA238" s="1"/>
      <c r="CB238" s="1"/>
      <c r="CC238" s="1"/>
      <c r="CD238" s="1"/>
      <c r="CE238" s="1"/>
      <c r="CF238" s="1"/>
      <c r="CG238" s="1"/>
    </row>
    <row r="239" spans="1:85" ht="15.75" customHeight="1">
      <c r="A239" s="125" t="s">
        <v>515</v>
      </c>
      <c r="B239" s="278"/>
      <c r="C239" s="129" t="s">
        <v>516</v>
      </c>
      <c r="D239" s="126" t="s">
        <v>517</v>
      </c>
      <c r="E239" s="70"/>
      <c r="F239" s="71"/>
      <c r="G239" s="71">
        <f t="shared" si="1056"/>
        <v>0</v>
      </c>
      <c r="H239" s="70"/>
      <c r="I239" s="72">
        <f t="shared" si="723"/>
        <v>0</v>
      </c>
      <c r="J239" s="72">
        <f t="shared" si="724"/>
        <v>0</v>
      </c>
      <c r="K239" s="231">
        <v>16230</v>
      </c>
      <c r="L239" s="276"/>
      <c r="M239" s="276"/>
      <c r="N239" s="279"/>
      <c r="O239" s="77">
        <f t="shared" ref="O239:Q239" si="1073">AA239+AD239+AG239+AJ239+AM239+AP239+AS239+AV239+AY239+BB239+BE239+BH239</f>
        <v>16230</v>
      </c>
      <c r="P239" s="77">
        <f t="shared" si="1073"/>
        <v>0</v>
      </c>
      <c r="Q239" s="77">
        <f t="shared" si="1073"/>
        <v>0</v>
      </c>
      <c r="R239" s="77">
        <f t="shared" ref="R239:T239" si="1074">IF(BK239=0,SUM(AA239+AD239+AG239+AJ239+AM239+AP239+AS239+AV239+AY239+BB239+BE239+BH239),BK239)</f>
        <v>16230</v>
      </c>
      <c r="S239" s="77">
        <f t="shared" si="1074"/>
        <v>0</v>
      </c>
      <c r="T239" s="77">
        <f t="shared" si="1074"/>
        <v>0</v>
      </c>
      <c r="U239" s="79">
        <f t="shared" si="1059"/>
        <v>0</v>
      </c>
      <c r="V239" s="79">
        <f t="shared" si="1060"/>
        <v>0</v>
      </c>
      <c r="W239" s="79">
        <f t="shared" si="1061"/>
        <v>0</v>
      </c>
      <c r="X239" s="80">
        <f t="shared" ref="X239:Y239" si="1075">IF(O239&gt;0,O239/K239,0)</f>
        <v>1</v>
      </c>
      <c r="Y239" s="80">
        <f t="shared" si="1075"/>
        <v>0</v>
      </c>
      <c r="Z239" s="80">
        <f t="shared" si="720"/>
        <v>0</v>
      </c>
      <c r="AA239" s="280"/>
      <c r="AB239" s="280"/>
      <c r="AC239" s="280"/>
      <c r="AD239" s="280"/>
      <c r="AE239" s="280"/>
      <c r="AF239" s="280"/>
      <c r="AG239" s="280"/>
      <c r="AH239" s="280"/>
      <c r="AI239" s="280"/>
      <c r="AJ239" s="280"/>
      <c r="AK239" s="280"/>
      <c r="AL239" s="280"/>
      <c r="AM239" s="280"/>
      <c r="AN239" s="280"/>
      <c r="AO239" s="280"/>
      <c r="AP239" s="281">
        <v>16230</v>
      </c>
      <c r="AQ239" s="280"/>
      <c r="AR239" s="280"/>
      <c r="AS239" s="280"/>
      <c r="AT239" s="280"/>
      <c r="AU239" s="280"/>
      <c r="AV239" s="280"/>
      <c r="AW239" s="280"/>
      <c r="AX239" s="280"/>
      <c r="AY239" s="280"/>
      <c r="AZ239" s="280"/>
      <c r="BA239" s="280"/>
      <c r="BB239" s="280"/>
      <c r="BC239" s="280"/>
      <c r="BD239" s="280"/>
      <c r="BE239" s="280"/>
      <c r="BF239" s="280"/>
      <c r="BG239" s="280"/>
      <c r="BH239" s="280"/>
      <c r="BI239" s="280"/>
      <c r="BJ239" s="280"/>
      <c r="BK239" s="277">
        <v>16230</v>
      </c>
      <c r="BL239" s="82">
        <v>0</v>
      </c>
      <c r="BM239" s="82">
        <v>0</v>
      </c>
      <c r="BN239" s="81">
        <f t="shared" si="1063"/>
        <v>0</v>
      </c>
      <c r="BO239" s="75">
        <f t="shared" si="1064"/>
        <v>0</v>
      </c>
      <c r="BP239" s="81">
        <f t="shared" si="1065"/>
        <v>0</v>
      </c>
      <c r="BQ239" s="81">
        <f t="shared" si="1066"/>
        <v>0</v>
      </c>
      <c r="BR239" s="81">
        <f t="shared" si="1067"/>
        <v>0</v>
      </c>
      <c r="BS239" s="81">
        <f t="shared" si="1068"/>
        <v>0</v>
      </c>
      <c r="BT239" s="81">
        <f t="shared" si="1069"/>
        <v>0</v>
      </c>
      <c r="BU239" s="81">
        <f t="shared" si="1070"/>
        <v>0</v>
      </c>
      <c r="BV239" s="81">
        <f t="shared" si="1071"/>
        <v>0</v>
      </c>
      <c r="BW239" s="81">
        <f t="shared" si="1072"/>
        <v>0</v>
      </c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</row>
    <row r="240" spans="1:85" ht="15.75" customHeight="1">
      <c r="A240" s="89" t="s">
        <v>518</v>
      </c>
      <c r="B240" s="115" t="s">
        <v>519</v>
      </c>
      <c r="C240" s="86" t="s">
        <v>520</v>
      </c>
      <c r="D240" s="126" t="s">
        <v>521</v>
      </c>
      <c r="E240" s="70"/>
      <c r="F240" s="71"/>
      <c r="G240" s="71">
        <f t="shared" si="1056"/>
        <v>0</v>
      </c>
      <c r="H240" s="70"/>
      <c r="I240" s="72">
        <f t="shared" si="723"/>
        <v>0</v>
      </c>
      <c r="J240" s="72">
        <f t="shared" si="724"/>
        <v>0</v>
      </c>
      <c r="K240" s="73">
        <f>7225.68-4453.08</f>
        <v>2772.6000000000004</v>
      </c>
      <c r="L240" s="81">
        <v>5168.91</v>
      </c>
      <c r="M240" s="81"/>
      <c r="N240" s="88"/>
      <c r="O240" s="77">
        <f t="shared" ref="O240:Q240" si="1076">AA240+AD240+AG240+AJ240+AM240+AP240+AS240+AV240+AY240+BB240+BE240+BH240</f>
        <v>1109.04</v>
      </c>
      <c r="P240" s="77">
        <f t="shared" si="1076"/>
        <v>5168.91</v>
      </c>
      <c r="Q240" s="77">
        <f t="shared" si="1076"/>
        <v>0</v>
      </c>
      <c r="R240" s="77">
        <f t="shared" ref="R240:T240" si="1077">IF(BK240=0,SUM(AA240+AD240+AG240+AJ240+AM240+AP240+AS240+AV240+AY240+BB240+BE240+BH240),BK240)</f>
        <v>1109.04</v>
      </c>
      <c r="S240" s="77">
        <f t="shared" si="1077"/>
        <v>5168.91</v>
      </c>
      <c r="T240" s="77">
        <f t="shared" si="1077"/>
        <v>0</v>
      </c>
      <c r="U240" s="78">
        <f t="shared" si="1059"/>
        <v>1663.5600000000004</v>
      </c>
      <c r="V240" s="79">
        <f t="shared" si="1060"/>
        <v>0</v>
      </c>
      <c r="W240" s="79">
        <f t="shared" si="1061"/>
        <v>0</v>
      </c>
      <c r="X240" s="80">
        <f t="shared" ref="X240:Y240" si="1078">IF(O240&gt;0,O240/K240,0)</f>
        <v>0.39999999999999991</v>
      </c>
      <c r="Y240" s="80">
        <f t="shared" si="1078"/>
        <v>1</v>
      </c>
      <c r="Z240" s="80">
        <f t="shared" si="720"/>
        <v>0</v>
      </c>
      <c r="AA240" s="81"/>
      <c r="AB240" s="81"/>
      <c r="AC240" s="81"/>
      <c r="AD240" s="81"/>
      <c r="AE240" s="128">
        <v>495.11</v>
      </c>
      <c r="AF240" s="83"/>
      <c r="AG240" s="83"/>
      <c r="AH240" s="82">
        <v>792.16</v>
      </c>
      <c r="AI240" s="82"/>
      <c r="AJ240" s="81"/>
      <c r="AK240" s="82">
        <v>554.52</v>
      </c>
      <c r="AL240" s="81"/>
      <c r="AM240" s="81"/>
      <c r="AN240" s="82">
        <v>554.52</v>
      </c>
      <c r="AO240" s="81"/>
      <c r="AP240" s="81"/>
      <c r="AQ240" s="82">
        <v>554.52</v>
      </c>
      <c r="AR240" s="81"/>
      <c r="AS240" s="81"/>
      <c r="AT240" s="82">
        <v>554.52</v>
      </c>
      <c r="AU240" s="81"/>
      <c r="AV240" s="81"/>
      <c r="AW240" s="82">
        <v>554.52</v>
      </c>
      <c r="AX240" s="81"/>
      <c r="AY240" s="81"/>
      <c r="AZ240" s="81">
        <f>554.52</f>
        <v>554.52</v>
      </c>
      <c r="BA240" s="81"/>
      <c r="BB240" s="81"/>
      <c r="BC240" s="82">
        <v>554.52</v>
      </c>
      <c r="BD240" s="81"/>
      <c r="BE240" s="81">
        <f>554.52</f>
        <v>554.52</v>
      </c>
      <c r="BF240" s="81"/>
      <c r="BG240" s="81"/>
      <c r="BH240" s="81">
        <f>554.52</f>
        <v>554.52</v>
      </c>
      <c r="BI240" s="81"/>
      <c r="BJ240" s="81"/>
      <c r="BK240" s="82">
        <v>1109.04</v>
      </c>
      <c r="BL240" s="82">
        <v>0</v>
      </c>
      <c r="BM240" s="82">
        <v>0</v>
      </c>
      <c r="BN240" s="81">
        <f t="shared" si="1063"/>
        <v>0</v>
      </c>
      <c r="BO240" s="75">
        <f t="shared" si="1064"/>
        <v>0</v>
      </c>
      <c r="BP240" s="81">
        <f t="shared" si="1065"/>
        <v>0</v>
      </c>
      <c r="BQ240" s="81">
        <f t="shared" si="1066"/>
        <v>1663.5600000000004</v>
      </c>
      <c r="BR240" s="81">
        <f t="shared" si="1067"/>
        <v>0</v>
      </c>
      <c r="BS240" s="81">
        <f t="shared" si="1068"/>
        <v>1663.5600000000004</v>
      </c>
      <c r="BT240" s="81">
        <f t="shared" si="1069"/>
        <v>0</v>
      </c>
      <c r="BU240" s="81">
        <f t="shared" si="1070"/>
        <v>0</v>
      </c>
      <c r="BV240" s="81">
        <f t="shared" si="1071"/>
        <v>1663.5600000000004</v>
      </c>
      <c r="BW240" s="81">
        <f t="shared" si="1072"/>
        <v>1663.5600000000004</v>
      </c>
      <c r="BX240" s="1"/>
      <c r="BY240" s="1"/>
      <c r="BZ240" s="1"/>
      <c r="CA240" s="1"/>
      <c r="CB240" s="1"/>
      <c r="CC240" s="1"/>
      <c r="CD240" s="1"/>
      <c r="CE240" s="1"/>
      <c r="CF240" s="1"/>
      <c r="CG240" s="1"/>
    </row>
    <row r="241" spans="1:85" ht="15.75" customHeight="1">
      <c r="A241" s="134" t="s">
        <v>522</v>
      </c>
      <c r="B241" s="132" t="s">
        <v>523</v>
      </c>
      <c r="C241" s="86" t="s">
        <v>520</v>
      </c>
      <c r="D241" s="87" t="s">
        <v>524</v>
      </c>
      <c r="E241" s="70"/>
      <c r="F241" s="71"/>
      <c r="G241" s="71">
        <f t="shared" si="1056"/>
        <v>0</v>
      </c>
      <c r="H241" s="70"/>
      <c r="I241" s="72">
        <f t="shared" si="723"/>
        <v>0</v>
      </c>
      <c r="J241" s="72">
        <f t="shared" si="724"/>
        <v>0</v>
      </c>
      <c r="K241" s="73">
        <f>3310+3300</f>
        <v>6610</v>
      </c>
      <c r="L241" s="81">
        <v>3406</v>
      </c>
      <c r="M241" s="81"/>
      <c r="N241" s="88"/>
      <c r="O241" s="77">
        <f t="shared" ref="O241:Q241" si="1079">AA241+AD241+AG241+AJ241+AM241+AP241+AS241+AV241+AY241+BB241+BE241+BH241</f>
        <v>2917</v>
      </c>
      <c r="P241" s="77">
        <f t="shared" si="1079"/>
        <v>3406</v>
      </c>
      <c r="Q241" s="77">
        <f t="shared" si="1079"/>
        <v>0</v>
      </c>
      <c r="R241" s="77">
        <f t="shared" ref="R241:T241" si="1080">IF(BK241=0,SUM(AA241+AD241+AG241+AJ241+AM241+AP241+AS241+AV241+AY241+BB241+BE241+BH241),BK241)</f>
        <v>2917</v>
      </c>
      <c r="S241" s="77">
        <f t="shared" si="1080"/>
        <v>3406</v>
      </c>
      <c r="T241" s="77">
        <f t="shared" si="1080"/>
        <v>0</v>
      </c>
      <c r="U241" s="78">
        <f t="shared" si="1059"/>
        <v>3693</v>
      </c>
      <c r="V241" s="79">
        <f t="shared" si="1060"/>
        <v>0</v>
      </c>
      <c r="W241" s="79">
        <f t="shared" si="1061"/>
        <v>0</v>
      </c>
      <c r="X241" s="80">
        <f t="shared" ref="X241:Y241" si="1081">IF(O241&gt;0,O241/K241,0)</f>
        <v>0.44130105900151284</v>
      </c>
      <c r="Y241" s="80">
        <f t="shared" si="1081"/>
        <v>1</v>
      </c>
      <c r="Z241" s="80">
        <f t="shared" si="720"/>
        <v>0</v>
      </c>
      <c r="AA241" s="81"/>
      <c r="AB241" s="81"/>
      <c r="AC241" s="81"/>
      <c r="AD241" s="81"/>
      <c r="AE241" s="128">
        <v>735</v>
      </c>
      <c r="AF241" s="83"/>
      <c r="AG241" s="83"/>
      <c r="AH241" s="83"/>
      <c r="AI241" s="81"/>
      <c r="AJ241" s="81"/>
      <c r="AK241" s="82">
        <v>1555</v>
      </c>
      <c r="AL241" s="81"/>
      <c r="AM241" s="81"/>
      <c r="AN241" s="81"/>
      <c r="AO241" s="81"/>
      <c r="AP241" s="81"/>
      <c r="AQ241" s="81"/>
      <c r="AR241" s="81"/>
      <c r="AS241" s="81"/>
      <c r="AT241" s="81"/>
      <c r="AU241" s="81"/>
      <c r="AV241" s="82">
        <v>2253</v>
      </c>
      <c r="AW241" s="82">
        <v>1116</v>
      </c>
      <c r="AX241" s="81"/>
      <c r="AY241" s="81"/>
      <c r="AZ241" s="81"/>
      <c r="BA241" s="81"/>
      <c r="BB241" s="81"/>
      <c r="BC241" s="81"/>
      <c r="BD241" s="81"/>
      <c r="BE241" s="81"/>
      <c r="BF241" s="81"/>
      <c r="BG241" s="81"/>
      <c r="BH241" s="81">
        <f>664</f>
        <v>664</v>
      </c>
      <c r="BI241" s="81"/>
      <c r="BJ241" s="81"/>
      <c r="BK241" s="82">
        <v>2917</v>
      </c>
      <c r="BL241" s="82">
        <v>0</v>
      </c>
      <c r="BM241" s="82">
        <v>0</v>
      </c>
      <c r="BN241" s="81">
        <f t="shared" si="1063"/>
        <v>0</v>
      </c>
      <c r="BO241" s="75">
        <f t="shared" si="1064"/>
        <v>0</v>
      </c>
      <c r="BP241" s="81">
        <f t="shared" si="1065"/>
        <v>0</v>
      </c>
      <c r="BQ241" s="81">
        <f t="shared" si="1066"/>
        <v>3693</v>
      </c>
      <c r="BR241" s="81">
        <f t="shared" si="1067"/>
        <v>0</v>
      </c>
      <c r="BS241" s="81">
        <f t="shared" si="1068"/>
        <v>3693</v>
      </c>
      <c r="BT241" s="81">
        <f t="shared" si="1069"/>
        <v>0</v>
      </c>
      <c r="BU241" s="81">
        <f t="shared" si="1070"/>
        <v>0</v>
      </c>
      <c r="BV241" s="81">
        <f t="shared" si="1071"/>
        <v>3693</v>
      </c>
      <c r="BW241" s="81">
        <f t="shared" si="1072"/>
        <v>3693</v>
      </c>
      <c r="BX241" s="1"/>
      <c r="BY241" s="1"/>
      <c r="BZ241" s="1"/>
      <c r="CA241" s="1"/>
      <c r="CB241" s="1"/>
      <c r="CC241" s="1"/>
      <c r="CD241" s="1"/>
      <c r="CE241" s="1"/>
      <c r="CF241" s="1"/>
      <c r="CG241" s="1"/>
    </row>
    <row r="242" spans="1:85" ht="15.75" customHeight="1">
      <c r="A242" s="282" t="s">
        <v>525</v>
      </c>
      <c r="B242" s="132"/>
      <c r="C242" s="86" t="s">
        <v>520</v>
      </c>
      <c r="D242" s="87" t="s">
        <v>526</v>
      </c>
      <c r="E242" s="70"/>
      <c r="F242" s="71"/>
      <c r="G242" s="71">
        <f t="shared" si="1056"/>
        <v>0</v>
      </c>
      <c r="H242" s="70"/>
      <c r="I242" s="72">
        <f t="shared" si="723"/>
        <v>0</v>
      </c>
      <c r="J242" s="72">
        <f t="shared" si="724"/>
        <v>0</v>
      </c>
      <c r="K242" s="73">
        <v>1120</v>
      </c>
      <c r="L242" s="81"/>
      <c r="M242" s="81"/>
      <c r="N242" s="88"/>
      <c r="O242" s="77">
        <f t="shared" ref="O242:Q242" si="1082">AA242+AD242+AG242+AJ242+AM242+AP242+AS242+AV242+AY242+BB242+BE242+BH242</f>
        <v>0</v>
      </c>
      <c r="P242" s="77">
        <f t="shared" si="1082"/>
        <v>0</v>
      </c>
      <c r="Q242" s="77">
        <f t="shared" si="1082"/>
        <v>0</v>
      </c>
      <c r="R242" s="77">
        <f t="shared" ref="R242:T242" si="1083">IF(BK242=0,SUM(AA242+AD242+AG242+AJ242+AM242+AP242+AS242+AV242+AY242+BB242+BE242+BH242),BK242)</f>
        <v>0</v>
      </c>
      <c r="S242" s="77">
        <f t="shared" si="1083"/>
        <v>0</v>
      </c>
      <c r="T242" s="77">
        <f t="shared" si="1083"/>
        <v>0</v>
      </c>
      <c r="U242" s="78">
        <f t="shared" si="1059"/>
        <v>1120</v>
      </c>
      <c r="V242" s="79">
        <f t="shared" si="1060"/>
        <v>0</v>
      </c>
      <c r="W242" s="79">
        <f t="shared" si="1061"/>
        <v>0</v>
      </c>
      <c r="X242" s="80">
        <f t="shared" ref="X242:Y242" si="1084">IF(O242&gt;0,O242/K242,0)</f>
        <v>0</v>
      </c>
      <c r="Y242" s="80">
        <f t="shared" si="1084"/>
        <v>0</v>
      </c>
      <c r="Z242" s="80">
        <f t="shared" si="720"/>
        <v>0</v>
      </c>
      <c r="AA242" s="81"/>
      <c r="AB242" s="81"/>
      <c r="AC242" s="81"/>
      <c r="AD242" s="81"/>
      <c r="AE242" s="83"/>
      <c r="AF242" s="83"/>
      <c r="AG242" s="83"/>
      <c r="AH242" s="128"/>
      <c r="AI242" s="82"/>
      <c r="AJ242" s="81"/>
      <c r="AK242" s="82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1"/>
      <c r="BE242" s="81"/>
      <c r="BF242" s="81"/>
      <c r="BG242" s="81"/>
      <c r="BH242" s="81"/>
      <c r="BI242" s="81"/>
      <c r="BJ242" s="81"/>
      <c r="BK242" s="82">
        <v>0</v>
      </c>
      <c r="BL242" s="82">
        <v>0</v>
      </c>
      <c r="BM242" s="82">
        <v>0</v>
      </c>
      <c r="BN242" s="81">
        <f t="shared" si="1063"/>
        <v>0</v>
      </c>
      <c r="BO242" s="75">
        <f t="shared" si="1064"/>
        <v>0</v>
      </c>
      <c r="BP242" s="81">
        <f t="shared" si="1065"/>
        <v>0</v>
      </c>
      <c r="BQ242" s="81">
        <f t="shared" si="1066"/>
        <v>1120</v>
      </c>
      <c r="BR242" s="81">
        <f t="shared" si="1067"/>
        <v>0</v>
      </c>
      <c r="BS242" s="81">
        <f t="shared" si="1068"/>
        <v>1120</v>
      </c>
      <c r="BT242" s="81">
        <f t="shared" si="1069"/>
        <v>0</v>
      </c>
      <c r="BU242" s="81">
        <f t="shared" si="1070"/>
        <v>0</v>
      </c>
      <c r="BV242" s="81">
        <f t="shared" si="1071"/>
        <v>1120</v>
      </c>
      <c r="BW242" s="81">
        <f t="shared" si="1072"/>
        <v>1120</v>
      </c>
      <c r="BX242" s="1"/>
      <c r="BY242" s="1"/>
      <c r="BZ242" s="1"/>
      <c r="CA242" s="1"/>
      <c r="CB242" s="1"/>
      <c r="CC242" s="1"/>
      <c r="CD242" s="1"/>
      <c r="CE242" s="1"/>
      <c r="CF242" s="1"/>
      <c r="CG242" s="1"/>
    </row>
    <row r="243" spans="1:85" ht="15.75" customHeight="1">
      <c r="A243" s="282" t="s">
        <v>527</v>
      </c>
      <c r="B243" s="132" t="s">
        <v>528</v>
      </c>
      <c r="C243" s="86" t="s">
        <v>333</v>
      </c>
      <c r="D243" s="87" t="s">
        <v>529</v>
      </c>
      <c r="E243" s="70">
        <v>72000</v>
      </c>
      <c r="F243" s="71"/>
      <c r="G243" s="71">
        <f t="shared" si="1056"/>
        <v>72000</v>
      </c>
      <c r="H243" s="70"/>
      <c r="I243" s="72">
        <f t="shared" si="723"/>
        <v>3.4063750000000004E-2</v>
      </c>
      <c r="J243" s="72">
        <f t="shared" si="724"/>
        <v>3.4063750000000004E-2</v>
      </c>
      <c r="K243" s="73">
        <v>2452.59</v>
      </c>
      <c r="L243" s="81">
        <v>14009.9</v>
      </c>
      <c r="M243" s="81"/>
      <c r="N243" s="88"/>
      <c r="O243" s="77">
        <f t="shared" ref="O243:Q243" si="1085">AA243+AD243+AG243+AJ243+AM243+AP243+AS243+AV243+AY243+BB243+BE243+BH243</f>
        <v>2452.59</v>
      </c>
      <c r="P243" s="77">
        <f t="shared" si="1085"/>
        <v>14009.900000000001</v>
      </c>
      <c r="Q243" s="77">
        <f t="shared" si="1085"/>
        <v>0</v>
      </c>
      <c r="R243" s="77">
        <f t="shared" ref="R243:T243" si="1086">IF(BK243=0,SUM(AA243+AD243+AG243+AJ243+AM243+AP243+AS243+AV243+AY243+BB243+BE243+BH243),BK243)</f>
        <v>2452.59</v>
      </c>
      <c r="S243" s="77">
        <f t="shared" si="1086"/>
        <v>14009.900000000001</v>
      </c>
      <c r="T243" s="77">
        <f t="shared" si="1086"/>
        <v>0</v>
      </c>
      <c r="U243" s="79">
        <f t="shared" si="1059"/>
        <v>0</v>
      </c>
      <c r="V243" s="79">
        <f t="shared" si="1060"/>
        <v>0</v>
      </c>
      <c r="W243" s="79">
        <f t="shared" si="1061"/>
        <v>0</v>
      </c>
      <c r="X243" s="80">
        <f t="shared" ref="X243:Y243" si="1087">IF(O243&gt;0,O243/K243,0)</f>
        <v>1</v>
      </c>
      <c r="Y243" s="80">
        <f t="shared" si="1087"/>
        <v>1.0000000000000002</v>
      </c>
      <c r="Z243" s="80">
        <f t="shared" si="720"/>
        <v>0</v>
      </c>
      <c r="AA243" s="81"/>
      <c r="AB243" s="81"/>
      <c r="AC243" s="81"/>
      <c r="AD243" s="81"/>
      <c r="AE243" s="83">
        <f>6678.09+6678.09</f>
        <v>13356.18</v>
      </c>
      <c r="AF243" s="83"/>
      <c r="AG243" s="83"/>
      <c r="AH243" s="128">
        <v>-5130</v>
      </c>
      <c r="AI243" s="82"/>
      <c r="AJ243" s="81">
        <f>894.37+1558.22</f>
        <v>2452.59</v>
      </c>
      <c r="AK243" s="82">
        <v>5783.72</v>
      </c>
      <c r="AL243" s="81"/>
      <c r="AM243" s="81"/>
      <c r="AN243" s="81"/>
      <c r="AO243" s="81"/>
      <c r="AP243" s="81"/>
      <c r="AQ243" s="81"/>
      <c r="AR243" s="81"/>
      <c r="AS243" s="81"/>
      <c r="AT243" s="81"/>
      <c r="AU243" s="81"/>
      <c r="AV243" s="81"/>
      <c r="AW243" s="81"/>
      <c r="AX243" s="81"/>
      <c r="AY243" s="81"/>
      <c r="AZ243" s="81"/>
      <c r="BA243" s="81"/>
      <c r="BB243" s="81"/>
      <c r="BC243" s="81"/>
      <c r="BD243" s="81"/>
      <c r="BE243" s="81"/>
      <c r="BF243" s="81"/>
      <c r="BG243" s="81"/>
      <c r="BH243" s="81"/>
      <c r="BI243" s="81"/>
      <c r="BJ243" s="81"/>
      <c r="BK243" s="82">
        <v>2452.59</v>
      </c>
      <c r="BL243" s="82">
        <v>0</v>
      </c>
      <c r="BM243" s="82">
        <v>0</v>
      </c>
      <c r="BN243" s="81">
        <f t="shared" si="1063"/>
        <v>0</v>
      </c>
      <c r="BO243" s="75">
        <f t="shared" si="1064"/>
        <v>0</v>
      </c>
      <c r="BP243" s="81">
        <f t="shared" si="1065"/>
        <v>0</v>
      </c>
      <c r="BQ243" s="81">
        <f t="shared" si="1066"/>
        <v>0</v>
      </c>
      <c r="BR243" s="81">
        <f t="shared" si="1067"/>
        <v>0</v>
      </c>
      <c r="BS243" s="81">
        <f t="shared" si="1068"/>
        <v>0</v>
      </c>
      <c r="BT243" s="81">
        <f t="shared" si="1069"/>
        <v>0</v>
      </c>
      <c r="BU243" s="81">
        <f t="shared" si="1070"/>
        <v>0</v>
      </c>
      <c r="BV243" s="81">
        <f t="shared" si="1071"/>
        <v>0</v>
      </c>
      <c r="BW243" s="81">
        <f t="shared" si="1072"/>
        <v>0</v>
      </c>
      <c r="BX243" s="1"/>
      <c r="BY243" s="1"/>
      <c r="BZ243" s="1"/>
      <c r="CA243" s="1"/>
      <c r="CB243" s="1"/>
      <c r="CC243" s="1"/>
      <c r="CD243" s="1"/>
      <c r="CE243" s="1"/>
      <c r="CF243" s="1"/>
      <c r="CG243" s="1"/>
    </row>
    <row r="244" spans="1:85" ht="15.75" customHeight="1">
      <c r="A244" s="66" t="s">
        <v>530</v>
      </c>
      <c r="B244" s="283"/>
      <c r="C244" s="129" t="s">
        <v>531</v>
      </c>
      <c r="D244" s="126" t="s">
        <v>532</v>
      </c>
      <c r="E244" s="70"/>
      <c r="F244" s="71"/>
      <c r="G244" s="71">
        <f t="shared" si="1056"/>
        <v>0</v>
      </c>
      <c r="H244" s="70"/>
      <c r="I244" s="72">
        <f t="shared" si="723"/>
        <v>0</v>
      </c>
      <c r="J244" s="72">
        <f t="shared" si="724"/>
        <v>0</v>
      </c>
      <c r="K244" s="73">
        <f>40752-4867.6</f>
        <v>35884.400000000001</v>
      </c>
      <c r="L244" s="74"/>
      <c r="M244" s="81"/>
      <c r="N244" s="88"/>
      <c r="O244" s="77">
        <f t="shared" ref="O244:Q244" si="1088">AA244+AD244+AG244+AJ244+AM244+AP244+AS244+AV244+AY244+BB244+BE244+BH244</f>
        <v>32488.400000000001</v>
      </c>
      <c r="P244" s="77">
        <f t="shared" si="1088"/>
        <v>0</v>
      </c>
      <c r="Q244" s="77">
        <f t="shared" si="1088"/>
        <v>0</v>
      </c>
      <c r="R244" s="77">
        <f t="shared" ref="R244:T244" si="1089">IF(BK244=0,SUM(AA244+AD244+AG244+AJ244+AM244+AP244+AS244+AV244+AY244+BB244+BE244+BH244),BK244)</f>
        <v>32488.400000000001</v>
      </c>
      <c r="S244" s="77">
        <f t="shared" si="1089"/>
        <v>0</v>
      </c>
      <c r="T244" s="77">
        <f t="shared" si="1089"/>
        <v>0</v>
      </c>
      <c r="U244" s="78">
        <f t="shared" si="1059"/>
        <v>3396</v>
      </c>
      <c r="V244" s="79">
        <f t="shared" si="1060"/>
        <v>0</v>
      </c>
      <c r="W244" s="79">
        <f t="shared" si="1061"/>
        <v>0</v>
      </c>
      <c r="X244" s="80">
        <f t="shared" ref="X244:Y244" si="1090">IF(O244&gt;0,O244/K244,0)</f>
        <v>0.90536277602523663</v>
      </c>
      <c r="Y244" s="80">
        <f t="shared" si="1090"/>
        <v>0</v>
      </c>
      <c r="Z244" s="80">
        <f t="shared" si="720"/>
        <v>0</v>
      </c>
      <c r="AA244" s="81"/>
      <c r="AB244" s="81"/>
      <c r="AC244" s="81"/>
      <c r="AD244" s="81"/>
      <c r="AE244" s="83"/>
      <c r="AF244" s="83"/>
      <c r="AG244" s="83"/>
      <c r="AH244" s="83"/>
      <c r="AI244" s="81"/>
      <c r="AJ244" s="82">
        <v>1924.4</v>
      </c>
      <c r="AK244" s="81"/>
      <c r="AL244" s="81"/>
      <c r="AM244" s="82">
        <v>3396</v>
      </c>
      <c r="AN244" s="81"/>
      <c r="AO244" s="81"/>
      <c r="AP244" s="82">
        <v>3396</v>
      </c>
      <c r="AQ244" s="81"/>
      <c r="AR244" s="81"/>
      <c r="AS244" s="82">
        <v>3396</v>
      </c>
      <c r="AT244" s="81"/>
      <c r="AU244" s="81"/>
      <c r="AV244" s="81">
        <f>3396</f>
        <v>3396</v>
      </c>
      <c r="AW244" s="81"/>
      <c r="AX244" s="81"/>
      <c r="AY244" s="81">
        <f>3396</f>
        <v>3396</v>
      </c>
      <c r="AZ244" s="81"/>
      <c r="BA244" s="81"/>
      <c r="BB244" s="81">
        <f>3396</f>
        <v>3396</v>
      </c>
      <c r="BC244" s="81"/>
      <c r="BD244" s="81"/>
      <c r="BE244" s="81">
        <f>3036+360</f>
        <v>3396</v>
      </c>
      <c r="BF244" s="81"/>
      <c r="BG244" s="81"/>
      <c r="BH244" s="81">
        <f>3396+3396</f>
        <v>6792</v>
      </c>
      <c r="BI244" s="81"/>
      <c r="BJ244" s="81"/>
      <c r="BK244" s="82">
        <v>32488.400000000001</v>
      </c>
      <c r="BL244" s="82">
        <v>0</v>
      </c>
      <c r="BM244" s="82">
        <v>0</v>
      </c>
      <c r="BN244" s="81">
        <f t="shared" si="1063"/>
        <v>0</v>
      </c>
      <c r="BO244" s="75">
        <f t="shared" si="1064"/>
        <v>0</v>
      </c>
      <c r="BP244" s="81">
        <f t="shared" si="1065"/>
        <v>0</v>
      </c>
      <c r="BQ244" s="81">
        <f t="shared" si="1066"/>
        <v>3396</v>
      </c>
      <c r="BR244" s="81">
        <f t="shared" si="1067"/>
        <v>0</v>
      </c>
      <c r="BS244" s="81">
        <f t="shared" si="1068"/>
        <v>3396</v>
      </c>
      <c r="BT244" s="81">
        <f t="shared" si="1069"/>
        <v>0</v>
      </c>
      <c r="BU244" s="81">
        <f t="shared" si="1070"/>
        <v>0</v>
      </c>
      <c r="BV244" s="81">
        <f t="shared" si="1071"/>
        <v>3396</v>
      </c>
      <c r="BW244" s="81">
        <f t="shared" si="1072"/>
        <v>3396</v>
      </c>
      <c r="BX244" s="1"/>
      <c r="BY244" s="1"/>
      <c r="BZ244" s="1"/>
      <c r="CA244" s="1"/>
      <c r="CB244" s="1"/>
      <c r="CC244" s="1"/>
      <c r="CD244" s="1"/>
      <c r="CE244" s="1"/>
      <c r="CF244" s="1"/>
      <c r="CG244" s="1"/>
    </row>
    <row r="245" spans="1:85" ht="15.75" customHeight="1">
      <c r="A245" s="253"/>
      <c r="B245" s="90"/>
      <c r="C245" s="91" t="s">
        <v>333</v>
      </c>
      <c r="D245" s="92" t="s">
        <v>533</v>
      </c>
      <c r="E245" s="70">
        <f>4000+24000</f>
        <v>28000</v>
      </c>
      <c r="F245" s="71"/>
      <c r="G245" s="71">
        <f t="shared" si="1056"/>
        <v>28000</v>
      </c>
      <c r="H245" s="70"/>
      <c r="I245" s="72">
        <f t="shared" si="723"/>
        <v>0</v>
      </c>
      <c r="J245" s="72">
        <f t="shared" si="724"/>
        <v>0</v>
      </c>
      <c r="K245" s="88"/>
      <c r="L245" s="74"/>
      <c r="M245" s="81"/>
      <c r="N245" s="88"/>
      <c r="O245" s="77">
        <f t="shared" ref="O245:Q245" si="1091">AA245+AD245+AG245+AJ245+AM245+AP245+AS245+AV245+AY245+BB245+BE245+BH245</f>
        <v>0</v>
      </c>
      <c r="P245" s="77">
        <f t="shared" si="1091"/>
        <v>0</v>
      </c>
      <c r="Q245" s="77">
        <f t="shared" si="1091"/>
        <v>0</v>
      </c>
      <c r="R245" s="77">
        <f t="shared" ref="R245:T245" si="1092">IF(BK245=0,SUM(AA245+AD245+AG245+AJ245+AM245+AP245+AS245+AV245+AY245+BB245+BE245+BH245),BK245)</f>
        <v>0</v>
      </c>
      <c r="S245" s="77">
        <f t="shared" si="1092"/>
        <v>0</v>
      </c>
      <c r="T245" s="77">
        <f t="shared" si="1092"/>
        <v>0</v>
      </c>
      <c r="U245" s="79">
        <f t="shared" si="1059"/>
        <v>0</v>
      </c>
      <c r="V245" s="79">
        <f t="shared" si="1060"/>
        <v>0</v>
      </c>
      <c r="W245" s="79">
        <f t="shared" si="1061"/>
        <v>0</v>
      </c>
      <c r="X245" s="80">
        <f t="shared" ref="X245:Y245" si="1093">IF(O245&gt;0,O245/K245,0)</f>
        <v>0</v>
      </c>
      <c r="Y245" s="80">
        <f t="shared" si="1093"/>
        <v>0</v>
      </c>
      <c r="Z245" s="80">
        <f t="shared" si="720"/>
        <v>0</v>
      </c>
      <c r="AA245" s="81"/>
      <c r="AB245" s="81"/>
      <c r="AC245" s="81"/>
      <c r="AD245" s="81"/>
      <c r="AE245" s="83"/>
      <c r="AF245" s="83"/>
      <c r="AG245" s="83"/>
      <c r="AH245" s="83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  <c r="BE245" s="81"/>
      <c r="BF245" s="81"/>
      <c r="BG245" s="81"/>
      <c r="BH245" s="81"/>
      <c r="BI245" s="81"/>
      <c r="BJ245" s="81"/>
      <c r="BK245" s="82">
        <v>0</v>
      </c>
      <c r="BL245" s="82">
        <v>0</v>
      </c>
      <c r="BM245" s="82">
        <v>0</v>
      </c>
      <c r="BN245" s="81">
        <f t="shared" si="1063"/>
        <v>0</v>
      </c>
      <c r="BO245" s="75">
        <f t="shared" si="1064"/>
        <v>0</v>
      </c>
      <c r="BP245" s="81">
        <f t="shared" si="1065"/>
        <v>0</v>
      </c>
      <c r="BQ245" s="81">
        <f t="shared" si="1066"/>
        <v>0</v>
      </c>
      <c r="BR245" s="81">
        <f t="shared" si="1067"/>
        <v>0</v>
      </c>
      <c r="BS245" s="81">
        <f t="shared" si="1068"/>
        <v>0</v>
      </c>
      <c r="BT245" s="81">
        <f t="shared" si="1069"/>
        <v>0</v>
      </c>
      <c r="BU245" s="81">
        <f t="shared" si="1070"/>
        <v>0</v>
      </c>
      <c r="BV245" s="81">
        <f t="shared" si="1071"/>
        <v>0</v>
      </c>
      <c r="BW245" s="81">
        <f t="shared" si="1072"/>
        <v>0</v>
      </c>
      <c r="BX245" s="1"/>
      <c r="BY245" s="1"/>
      <c r="BZ245" s="1"/>
      <c r="CA245" s="1"/>
      <c r="CB245" s="1"/>
      <c r="CC245" s="1"/>
      <c r="CD245" s="1"/>
      <c r="CE245" s="1"/>
      <c r="CF245" s="1"/>
      <c r="CG245" s="1"/>
    </row>
    <row r="246" spans="1:85" ht="15.75" customHeight="1">
      <c r="A246" s="100"/>
      <c r="B246" s="101"/>
      <c r="C246" s="102"/>
      <c r="D246" s="103" t="s">
        <v>534</v>
      </c>
      <c r="E246" s="104">
        <f t="shared" ref="E246:H246" si="1094">E247+E249+E253+E255</f>
        <v>115721.63</v>
      </c>
      <c r="F246" s="104">
        <f t="shared" si="1094"/>
        <v>69628.649999999994</v>
      </c>
      <c r="G246" s="104">
        <f t="shared" si="1094"/>
        <v>46092.98</v>
      </c>
      <c r="H246" s="104">
        <f t="shared" si="1094"/>
        <v>0</v>
      </c>
      <c r="I246" s="105">
        <f t="shared" si="723"/>
        <v>0</v>
      </c>
      <c r="J246" s="105">
        <f t="shared" si="724"/>
        <v>0</v>
      </c>
      <c r="K246" s="104">
        <f t="shared" ref="K246:W246" si="1095">K247+K249+K253+K255</f>
        <v>0</v>
      </c>
      <c r="L246" s="104">
        <f t="shared" si="1095"/>
        <v>0</v>
      </c>
      <c r="M246" s="104">
        <f t="shared" si="1095"/>
        <v>0</v>
      </c>
      <c r="N246" s="104">
        <f t="shared" si="1095"/>
        <v>0</v>
      </c>
      <c r="O246" s="104">
        <f t="shared" si="1095"/>
        <v>0</v>
      </c>
      <c r="P246" s="104">
        <f t="shared" si="1095"/>
        <v>0</v>
      </c>
      <c r="Q246" s="104">
        <f t="shared" si="1095"/>
        <v>0</v>
      </c>
      <c r="R246" s="104">
        <f t="shared" si="1095"/>
        <v>0</v>
      </c>
      <c r="S246" s="104">
        <f t="shared" si="1095"/>
        <v>0</v>
      </c>
      <c r="T246" s="104">
        <f t="shared" si="1095"/>
        <v>0</v>
      </c>
      <c r="U246" s="104">
        <f t="shared" si="1095"/>
        <v>0</v>
      </c>
      <c r="V246" s="104">
        <f t="shared" si="1095"/>
        <v>0</v>
      </c>
      <c r="W246" s="104">
        <f t="shared" si="1095"/>
        <v>0</v>
      </c>
      <c r="X246" s="106">
        <f t="shared" ref="X246:Y246" si="1096">IF(O246&gt;0,O246/K246,0)</f>
        <v>0</v>
      </c>
      <c r="Y246" s="106">
        <f t="shared" si="1096"/>
        <v>0</v>
      </c>
      <c r="Z246" s="106">
        <f t="shared" si="720"/>
        <v>0</v>
      </c>
      <c r="AA246" s="104">
        <f t="shared" ref="AA246:BW246" si="1097">AA247+AA249+AA253+AA255</f>
        <v>0</v>
      </c>
      <c r="AB246" s="104">
        <f t="shared" si="1097"/>
        <v>0</v>
      </c>
      <c r="AC246" s="104">
        <f t="shared" si="1097"/>
        <v>0</v>
      </c>
      <c r="AD246" s="104">
        <f t="shared" si="1097"/>
        <v>0</v>
      </c>
      <c r="AE246" s="104">
        <f t="shared" si="1097"/>
        <v>0</v>
      </c>
      <c r="AF246" s="104">
        <f t="shared" si="1097"/>
        <v>0</v>
      </c>
      <c r="AG246" s="104">
        <f t="shared" si="1097"/>
        <v>0</v>
      </c>
      <c r="AH246" s="104">
        <f t="shared" si="1097"/>
        <v>0</v>
      </c>
      <c r="AI246" s="104">
        <f t="shared" si="1097"/>
        <v>0</v>
      </c>
      <c r="AJ246" s="104">
        <f t="shared" si="1097"/>
        <v>0</v>
      </c>
      <c r="AK246" s="104">
        <f t="shared" si="1097"/>
        <v>0</v>
      </c>
      <c r="AL246" s="104">
        <f t="shared" si="1097"/>
        <v>0</v>
      </c>
      <c r="AM246" s="104">
        <f t="shared" si="1097"/>
        <v>0</v>
      </c>
      <c r="AN246" s="104">
        <f t="shared" si="1097"/>
        <v>0</v>
      </c>
      <c r="AO246" s="104">
        <f t="shared" si="1097"/>
        <v>0</v>
      </c>
      <c r="AP246" s="104">
        <f t="shared" si="1097"/>
        <v>0</v>
      </c>
      <c r="AQ246" s="104">
        <f t="shared" si="1097"/>
        <v>0</v>
      </c>
      <c r="AR246" s="104">
        <f t="shared" si="1097"/>
        <v>0</v>
      </c>
      <c r="AS246" s="104">
        <f t="shared" si="1097"/>
        <v>0</v>
      </c>
      <c r="AT246" s="104">
        <f t="shared" si="1097"/>
        <v>0</v>
      </c>
      <c r="AU246" s="104">
        <f t="shared" si="1097"/>
        <v>0</v>
      </c>
      <c r="AV246" s="104">
        <f t="shared" si="1097"/>
        <v>0</v>
      </c>
      <c r="AW246" s="104">
        <f t="shared" si="1097"/>
        <v>0</v>
      </c>
      <c r="AX246" s="104">
        <f t="shared" si="1097"/>
        <v>0</v>
      </c>
      <c r="AY246" s="104">
        <f t="shared" si="1097"/>
        <v>0</v>
      </c>
      <c r="AZ246" s="104">
        <f t="shared" si="1097"/>
        <v>0</v>
      </c>
      <c r="BA246" s="104">
        <f t="shared" si="1097"/>
        <v>0</v>
      </c>
      <c r="BB246" s="104">
        <f t="shared" si="1097"/>
        <v>0</v>
      </c>
      <c r="BC246" s="104">
        <f t="shared" si="1097"/>
        <v>0</v>
      </c>
      <c r="BD246" s="104">
        <f t="shared" si="1097"/>
        <v>0</v>
      </c>
      <c r="BE246" s="104">
        <f t="shared" si="1097"/>
        <v>0</v>
      </c>
      <c r="BF246" s="104">
        <f t="shared" si="1097"/>
        <v>0</v>
      </c>
      <c r="BG246" s="104">
        <f t="shared" si="1097"/>
        <v>0</v>
      </c>
      <c r="BH246" s="104">
        <f t="shared" si="1097"/>
        <v>0</v>
      </c>
      <c r="BI246" s="104">
        <f t="shared" si="1097"/>
        <v>0</v>
      </c>
      <c r="BJ246" s="104">
        <f t="shared" si="1097"/>
        <v>0</v>
      </c>
      <c r="BK246" s="104">
        <f t="shared" si="1097"/>
        <v>0</v>
      </c>
      <c r="BL246" s="104">
        <f t="shared" si="1097"/>
        <v>0</v>
      </c>
      <c r="BM246" s="104">
        <f t="shared" si="1097"/>
        <v>0</v>
      </c>
      <c r="BN246" s="104">
        <f t="shared" si="1097"/>
        <v>0</v>
      </c>
      <c r="BO246" s="104">
        <f t="shared" si="1097"/>
        <v>0</v>
      </c>
      <c r="BP246" s="104">
        <f t="shared" si="1097"/>
        <v>0</v>
      </c>
      <c r="BQ246" s="104">
        <f t="shared" si="1097"/>
        <v>0</v>
      </c>
      <c r="BR246" s="104">
        <f t="shared" si="1097"/>
        <v>0</v>
      </c>
      <c r="BS246" s="104">
        <f t="shared" si="1097"/>
        <v>0</v>
      </c>
      <c r="BT246" s="104">
        <f t="shared" si="1097"/>
        <v>0</v>
      </c>
      <c r="BU246" s="104">
        <f t="shared" si="1097"/>
        <v>0</v>
      </c>
      <c r="BV246" s="104">
        <f t="shared" si="1097"/>
        <v>0</v>
      </c>
      <c r="BW246" s="104">
        <f t="shared" si="1097"/>
        <v>0</v>
      </c>
      <c r="BX246" s="261"/>
      <c r="BY246" s="261"/>
      <c r="BZ246" s="261"/>
      <c r="CA246" s="261"/>
      <c r="CB246" s="261"/>
      <c r="CC246" s="261"/>
      <c r="CD246" s="261"/>
      <c r="CE246" s="261"/>
      <c r="CF246" s="261"/>
      <c r="CG246" s="261"/>
    </row>
    <row r="247" spans="1:85" ht="15.75">
      <c r="A247" s="270"/>
      <c r="B247" s="271"/>
      <c r="C247" s="272"/>
      <c r="D247" s="112" t="s">
        <v>116</v>
      </c>
      <c r="E247" s="58">
        <f t="shared" ref="E247:H247" si="1098">E248</f>
        <v>5000</v>
      </c>
      <c r="F247" s="58">
        <f t="shared" si="1098"/>
        <v>0</v>
      </c>
      <c r="G247" s="58">
        <f t="shared" si="1098"/>
        <v>5000</v>
      </c>
      <c r="H247" s="58">
        <f t="shared" si="1098"/>
        <v>0</v>
      </c>
      <c r="I247" s="60">
        <f t="shared" si="723"/>
        <v>0</v>
      </c>
      <c r="J247" s="60">
        <f t="shared" si="724"/>
        <v>0</v>
      </c>
      <c r="K247" s="58">
        <f t="shared" ref="K247:W247" si="1099">K248</f>
        <v>0</v>
      </c>
      <c r="L247" s="58">
        <f t="shared" si="1099"/>
        <v>0</v>
      </c>
      <c r="M247" s="58">
        <f t="shared" si="1099"/>
        <v>0</v>
      </c>
      <c r="N247" s="58">
        <f t="shared" si="1099"/>
        <v>0</v>
      </c>
      <c r="O247" s="58">
        <f t="shared" si="1099"/>
        <v>0</v>
      </c>
      <c r="P247" s="58">
        <f t="shared" si="1099"/>
        <v>0</v>
      </c>
      <c r="Q247" s="58">
        <f t="shared" si="1099"/>
        <v>0</v>
      </c>
      <c r="R247" s="58">
        <f t="shared" si="1099"/>
        <v>0</v>
      </c>
      <c r="S247" s="58">
        <f t="shared" si="1099"/>
        <v>0</v>
      </c>
      <c r="T247" s="58">
        <f t="shared" si="1099"/>
        <v>0</v>
      </c>
      <c r="U247" s="58">
        <f t="shared" si="1099"/>
        <v>0</v>
      </c>
      <c r="V247" s="58">
        <f t="shared" si="1099"/>
        <v>0</v>
      </c>
      <c r="W247" s="58">
        <f t="shared" si="1099"/>
        <v>0</v>
      </c>
      <c r="X247" s="63">
        <f t="shared" ref="X247:Y247" si="1100">IF(O247&gt;0,O247/K247,0)</f>
        <v>0</v>
      </c>
      <c r="Y247" s="63">
        <f t="shared" si="1100"/>
        <v>0</v>
      </c>
      <c r="Z247" s="63">
        <f t="shared" si="720"/>
        <v>0</v>
      </c>
      <c r="AA247" s="58">
        <f t="shared" ref="AA247:BW247" si="1101">AA248</f>
        <v>0</v>
      </c>
      <c r="AB247" s="58">
        <f t="shared" si="1101"/>
        <v>0</v>
      </c>
      <c r="AC247" s="58">
        <f t="shared" si="1101"/>
        <v>0</v>
      </c>
      <c r="AD247" s="58">
        <f t="shared" si="1101"/>
        <v>0</v>
      </c>
      <c r="AE247" s="58">
        <f t="shared" si="1101"/>
        <v>0</v>
      </c>
      <c r="AF247" s="58">
        <f t="shared" si="1101"/>
        <v>0</v>
      </c>
      <c r="AG247" s="58">
        <f t="shared" si="1101"/>
        <v>0</v>
      </c>
      <c r="AH247" s="58">
        <f t="shared" si="1101"/>
        <v>0</v>
      </c>
      <c r="AI247" s="58">
        <f t="shared" si="1101"/>
        <v>0</v>
      </c>
      <c r="AJ247" s="58">
        <f t="shared" si="1101"/>
        <v>0</v>
      </c>
      <c r="AK247" s="58">
        <f t="shared" si="1101"/>
        <v>0</v>
      </c>
      <c r="AL247" s="58">
        <f t="shared" si="1101"/>
        <v>0</v>
      </c>
      <c r="AM247" s="58">
        <f t="shared" si="1101"/>
        <v>0</v>
      </c>
      <c r="AN247" s="58">
        <f t="shared" si="1101"/>
        <v>0</v>
      </c>
      <c r="AO247" s="58">
        <f t="shared" si="1101"/>
        <v>0</v>
      </c>
      <c r="AP247" s="58">
        <f t="shared" si="1101"/>
        <v>0</v>
      </c>
      <c r="AQ247" s="58">
        <f t="shared" si="1101"/>
        <v>0</v>
      </c>
      <c r="AR247" s="58">
        <f t="shared" si="1101"/>
        <v>0</v>
      </c>
      <c r="AS247" s="58">
        <f t="shared" si="1101"/>
        <v>0</v>
      </c>
      <c r="AT247" s="58">
        <f t="shared" si="1101"/>
        <v>0</v>
      </c>
      <c r="AU247" s="58">
        <f t="shared" si="1101"/>
        <v>0</v>
      </c>
      <c r="AV247" s="58">
        <f t="shared" si="1101"/>
        <v>0</v>
      </c>
      <c r="AW247" s="58">
        <f t="shared" si="1101"/>
        <v>0</v>
      </c>
      <c r="AX247" s="58">
        <f t="shared" si="1101"/>
        <v>0</v>
      </c>
      <c r="AY247" s="58">
        <f t="shared" si="1101"/>
        <v>0</v>
      </c>
      <c r="AZ247" s="58">
        <f t="shared" si="1101"/>
        <v>0</v>
      </c>
      <c r="BA247" s="58">
        <f t="shared" si="1101"/>
        <v>0</v>
      </c>
      <c r="BB247" s="58">
        <f t="shared" si="1101"/>
        <v>0</v>
      </c>
      <c r="BC247" s="58">
        <f t="shared" si="1101"/>
        <v>0</v>
      </c>
      <c r="BD247" s="58">
        <f t="shared" si="1101"/>
        <v>0</v>
      </c>
      <c r="BE247" s="58">
        <f t="shared" si="1101"/>
        <v>0</v>
      </c>
      <c r="BF247" s="58">
        <f t="shared" si="1101"/>
        <v>0</v>
      </c>
      <c r="BG247" s="58">
        <f t="shared" si="1101"/>
        <v>0</v>
      </c>
      <c r="BH247" s="58">
        <f t="shared" si="1101"/>
        <v>0</v>
      </c>
      <c r="BI247" s="58">
        <f t="shared" si="1101"/>
        <v>0</v>
      </c>
      <c r="BJ247" s="58">
        <f t="shared" si="1101"/>
        <v>0</v>
      </c>
      <c r="BK247" s="58">
        <f t="shared" si="1101"/>
        <v>0</v>
      </c>
      <c r="BL247" s="58">
        <f t="shared" si="1101"/>
        <v>0</v>
      </c>
      <c r="BM247" s="58">
        <f t="shared" si="1101"/>
        <v>0</v>
      </c>
      <c r="BN247" s="58">
        <f t="shared" si="1101"/>
        <v>0</v>
      </c>
      <c r="BO247" s="58">
        <f t="shared" si="1101"/>
        <v>0</v>
      </c>
      <c r="BP247" s="58">
        <f t="shared" si="1101"/>
        <v>0</v>
      </c>
      <c r="BQ247" s="58">
        <f t="shared" si="1101"/>
        <v>0</v>
      </c>
      <c r="BR247" s="58">
        <f t="shared" si="1101"/>
        <v>0</v>
      </c>
      <c r="BS247" s="58">
        <f t="shared" si="1101"/>
        <v>0</v>
      </c>
      <c r="BT247" s="58">
        <f t="shared" si="1101"/>
        <v>0</v>
      </c>
      <c r="BU247" s="58">
        <f t="shared" si="1101"/>
        <v>0</v>
      </c>
      <c r="BV247" s="58">
        <f t="shared" si="1101"/>
        <v>0</v>
      </c>
      <c r="BW247" s="58">
        <f t="shared" si="1101"/>
        <v>0</v>
      </c>
      <c r="BX247" s="1"/>
      <c r="BY247" s="1"/>
      <c r="BZ247" s="1"/>
      <c r="CA247" s="1"/>
      <c r="CB247" s="1"/>
      <c r="CC247" s="1"/>
      <c r="CD247" s="1"/>
      <c r="CE247" s="1"/>
      <c r="CF247" s="1"/>
      <c r="CG247" s="1"/>
    </row>
    <row r="248" spans="1:85" ht="15.75" customHeight="1">
      <c r="A248" s="284"/>
      <c r="B248" s="285"/>
      <c r="C248" s="68" t="s">
        <v>118</v>
      </c>
      <c r="D248" s="69" t="s">
        <v>119</v>
      </c>
      <c r="E248" s="70">
        <v>5000</v>
      </c>
      <c r="F248" s="93">
        <v>0</v>
      </c>
      <c r="G248" s="71">
        <f>E248-F248</f>
        <v>5000</v>
      </c>
      <c r="H248" s="70"/>
      <c r="I248" s="72">
        <f t="shared" si="723"/>
        <v>0</v>
      </c>
      <c r="J248" s="72">
        <f t="shared" si="724"/>
        <v>0</v>
      </c>
      <c r="K248" s="279"/>
      <c r="L248" s="280"/>
      <c r="M248" s="276"/>
      <c r="N248" s="279"/>
      <c r="O248" s="77">
        <f t="shared" ref="O248:Q248" si="1102">AA248+AD248+AG248+AJ248+AM248+AP248+AS248+AV248+AY248+BB248+BE248+BH248</f>
        <v>0</v>
      </c>
      <c r="P248" s="77">
        <f t="shared" si="1102"/>
        <v>0</v>
      </c>
      <c r="Q248" s="77">
        <f t="shared" si="1102"/>
        <v>0</v>
      </c>
      <c r="R248" s="77">
        <f t="shared" ref="R248:T248" si="1103">IF(BK248=0,SUM(AA248+AD248+AG248+AJ248+AM248+AP248+AS248+AV248+AY248+BB248+BE248+BH248),BK248)</f>
        <v>0</v>
      </c>
      <c r="S248" s="77">
        <f t="shared" si="1103"/>
        <v>0</v>
      </c>
      <c r="T248" s="77">
        <f t="shared" si="1103"/>
        <v>0</v>
      </c>
      <c r="U248" s="79">
        <f>K248-O248</f>
        <v>0</v>
      </c>
      <c r="V248" s="79">
        <f>L248-M248-S248</f>
        <v>0</v>
      </c>
      <c r="W248" s="79">
        <f>N248-Q248</f>
        <v>0</v>
      </c>
      <c r="X248" s="80">
        <f t="shared" ref="X248:Y248" si="1104">IF(O248&gt;0,O248/K248,0)</f>
        <v>0</v>
      </c>
      <c r="Y248" s="80">
        <f t="shared" si="1104"/>
        <v>0</v>
      </c>
      <c r="Z248" s="80">
        <f t="shared" si="720"/>
        <v>0</v>
      </c>
      <c r="AA248" s="280"/>
      <c r="AB248" s="280"/>
      <c r="AC248" s="280"/>
      <c r="AD248" s="280"/>
      <c r="AE248" s="280"/>
      <c r="AF248" s="280"/>
      <c r="AG248" s="280"/>
      <c r="AH248" s="280"/>
      <c r="AI248" s="280"/>
      <c r="AJ248" s="280"/>
      <c r="AK248" s="280"/>
      <c r="AL248" s="280"/>
      <c r="AM248" s="280"/>
      <c r="AN248" s="280"/>
      <c r="AO248" s="280"/>
      <c r="AP248" s="280"/>
      <c r="AQ248" s="280"/>
      <c r="AR248" s="280"/>
      <c r="AS248" s="280"/>
      <c r="AT248" s="280"/>
      <c r="AU248" s="280"/>
      <c r="AV248" s="280"/>
      <c r="AW248" s="280"/>
      <c r="AX248" s="280"/>
      <c r="AY248" s="280"/>
      <c r="AZ248" s="280"/>
      <c r="BA248" s="280"/>
      <c r="BB248" s="280"/>
      <c r="BC248" s="280"/>
      <c r="BD248" s="280"/>
      <c r="BE248" s="280"/>
      <c r="BF248" s="280"/>
      <c r="BG248" s="280"/>
      <c r="BH248" s="280"/>
      <c r="BI248" s="280"/>
      <c r="BJ248" s="280"/>
      <c r="BK248" s="82">
        <v>0</v>
      </c>
      <c r="BL248" s="82">
        <v>0</v>
      </c>
      <c r="BM248" s="82">
        <v>0</v>
      </c>
      <c r="BN248" s="81">
        <f>IF(O248-BK248&gt;0,O248-BK248,0)</f>
        <v>0</v>
      </c>
      <c r="BO248" s="75">
        <f>IF(Q248-BM248&gt;0,Q248-BM248,0)</f>
        <v>0</v>
      </c>
      <c r="BP248" s="81">
        <f>IF(BN248+BO248&gt;0,BN248+BO248,0)</f>
        <v>0</v>
      </c>
      <c r="BQ248" s="81">
        <f>IF(U248=0,0,U248)</f>
        <v>0</v>
      </c>
      <c r="BR248" s="81">
        <f>IF(W248=0,0,W248)</f>
        <v>0</v>
      </c>
      <c r="BS248" s="81">
        <f>IF(BQ248+BR248&gt;0,BQ248+BR248,0)</f>
        <v>0</v>
      </c>
      <c r="BT248" s="81">
        <f>IF(V248&gt;0,V248,0)</f>
        <v>0</v>
      </c>
      <c r="BU248" s="81">
        <f>IF(BP248=0,0,BP248)</f>
        <v>0</v>
      </c>
      <c r="BV248" s="81">
        <f>IF(BS248=0,0,BS248)</f>
        <v>0</v>
      </c>
      <c r="BW248" s="81">
        <f>IF(BP248+BT248+BV248&gt;0,BP248+BT248+BV248,0)</f>
        <v>0</v>
      </c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</row>
    <row r="249" spans="1:85" ht="15.75">
      <c r="A249" s="270"/>
      <c r="B249" s="271"/>
      <c r="C249" s="272"/>
      <c r="D249" s="112" t="s">
        <v>128</v>
      </c>
      <c r="E249" s="286">
        <f t="shared" ref="E249:H249" si="1105">SUM(E250:E252)</f>
        <v>20000</v>
      </c>
      <c r="F249" s="286">
        <f t="shared" si="1105"/>
        <v>0</v>
      </c>
      <c r="G249" s="286">
        <f t="shared" si="1105"/>
        <v>20000</v>
      </c>
      <c r="H249" s="286">
        <f t="shared" si="1105"/>
        <v>0</v>
      </c>
      <c r="I249" s="287">
        <f t="shared" si="723"/>
        <v>0</v>
      </c>
      <c r="J249" s="287">
        <f t="shared" si="724"/>
        <v>0</v>
      </c>
      <c r="K249" s="286">
        <f t="shared" ref="K249:W249" si="1106">SUM(K250:K252)</f>
        <v>0</v>
      </c>
      <c r="L249" s="286">
        <f t="shared" si="1106"/>
        <v>0</v>
      </c>
      <c r="M249" s="286">
        <f t="shared" si="1106"/>
        <v>0</v>
      </c>
      <c r="N249" s="286">
        <f t="shared" si="1106"/>
        <v>0</v>
      </c>
      <c r="O249" s="286">
        <f t="shared" si="1106"/>
        <v>0</v>
      </c>
      <c r="P249" s="286">
        <f t="shared" si="1106"/>
        <v>0</v>
      </c>
      <c r="Q249" s="286">
        <f t="shared" si="1106"/>
        <v>0</v>
      </c>
      <c r="R249" s="286">
        <f t="shared" si="1106"/>
        <v>0</v>
      </c>
      <c r="S249" s="286">
        <f t="shared" si="1106"/>
        <v>0</v>
      </c>
      <c r="T249" s="286">
        <f t="shared" si="1106"/>
        <v>0</v>
      </c>
      <c r="U249" s="286">
        <f t="shared" si="1106"/>
        <v>0</v>
      </c>
      <c r="V249" s="286">
        <f t="shared" si="1106"/>
        <v>0</v>
      </c>
      <c r="W249" s="286">
        <f t="shared" si="1106"/>
        <v>0</v>
      </c>
      <c r="X249" s="288">
        <f t="shared" ref="X249:Y249" si="1107">IF(O249&gt;0,O249/K249,0)</f>
        <v>0</v>
      </c>
      <c r="Y249" s="288">
        <f t="shared" si="1107"/>
        <v>0</v>
      </c>
      <c r="Z249" s="288">
        <f t="shared" si="720"/>
        <v>0</v>
      </c>
      <c r="AA249" s="286">
        <f t="shared" ref="AA249:BW249" si="1108">SUM(AA250:AA252)</f>
        <v>0</v>
      </c>
      <c r="AB249" s="286">
        <f t="shared" si="1108"/>
        <v>0</v>
      </c>
      <c r="AC249" s="286">
        <f t="shared" si="1108"/>
        <v>0</v>
      </c>
      <c r="AD249" s="286">
        <f t="shared" si="1108"/>
        <v>0</v>
      </c>
      <c r="AE249" s="286">
        <f t="shared" si="1108"/>
        <v>0</v>
      </c>
      <c r="AF249" s="286">
        <f t="shared" si="1108"/>
        <v>0</v>
      </c>
      <c r="AG249" s="286">
        <f t="shared" si="1108"/>
        <v>0</v>
      </c>
      <c r="AH249" s="286">
        <f t="shared" si="1108"/>
        <v>0</v>
      </c>
      <c r="AI249" s="286">
        <f t="shared" si="1108"/>
        <v>0</v>
      </c>
      <c r="AJ249" s="286">
        <f t="shared" si="1108"/>
        <v>0</v>
      </c>
      <c r="AK249" s="286">
        <f t="shared" si="1108"/>
        <v>0</v>
      </c>
      <c r="AL249" s="286">
        <f t="shared" si="1108"/>
        <v>0</v>
      </c>
      <c r="AM249" s="286">
        <f t="shared" si="1108"/>
        <v>0</v>
      </c>
      <c r="AN249" s="286">
        <f t="shared" si="1108"/>
        <v>0</v>
      </c>
      <c r="AO249" s="286">
        <f t="shared" si="1108"/>
        <v>0</v>
      </c>
      <c r="AP249" s="286">
        <f t="shared" si="1108"/>
        <v>0</v>
      </c>
      <c r="AQ249" s="286">
        <f t="shared" si="1108"/>
        <v>0</v>
      </c>
      <c r="AR249" s="286">
        <f t="shared" si="1108"/>
        <v>0</v>
      </c>
      <c r="AS249" s="286">
        <f t="shared" si="1108"/>
        <v>0</v>
      </c>
      <c r="AT249" s="286">
        <f t="shared" si="1108"/>
        <v>0</v>
      </c>
      <c r="AU249" s="286">
        <f t="shared" si="1108"/>
        <v>0</v>
      </c>
      <c r="AV249" s="286">
        <f t="shared" si="1108"/>
        <v>0</v>
      </c>
      <c r="AW249" s="286">
        <f t="shared" si="1108"/>
        <v>0</v>
      </c>
      <c r="AX249" s="286">
        <f t="shared" si="1108"/>
        <v>0</v>
      </c>
      <c r="AY249" s="286">
        <f t="shared" si="1108"/>
        <v>0</v>
      </c>
      <c r="AZ249" s="286">
        <f t="shared" si="1108"/>
        <v>0</v>
      </c>
      <c r="BA249" s="286">
        <f t="shared" si="1108"/>
        <v>0</v>
      </c>
      <c r="BB249" s="286">
        <f t="shared" si="1108"/>
        <v>0</v>
      </c>
      <c r="BC249" s="286">
        <f t="shared" si="1108"/>
        <v>0</v>
      </c>
      <c r="BD249" s="286">
        <f t="shared" si="1108"/>
        <v>0</v>
      </c>
      <c r="BE249" s="286">
        <f t="shared" si="1108"/>
        <v>0</v>
      </c>
      <c r="BF249" s="286">
        <f t="shared" si="1108"/>
        <v>0</v>
      </c>
      <c r="BG249" s="286">
        <f t="shared" si="1108"/>
        <v>0</v>
      </c>
      <c r="BH249" s="286">
        <f t="shared" si="1108"/>
        <v>0</v>
      </c>
      <c r="BI249" s="286">
        <f t="shared" si="1108"/>
        <v>0</v>
      </c>
      <c r="BJ249" s="286">
        <f t="shared" si="1108"/>
        <v>0</v>
      </c>
      <c r="BK249" s="286">
        <f t="shared" si="1108"/>
        <v>0</v>
      </c>
      <c r="BL249" s="286">
        <f t="shared" si="1108"/>
        <v>0</v>
      </c>
      <c r="BM249" s="286">
        <f t="shared" si="1108"/>
        <v>0</v>
      </c>
      <c r="BN249" s="286">
        <f t="shared" si="1108"/>
        <v>0</v>
      </c>
      <c r="BO249" s="286">
        <f t="shared" si="1108"/>
        <v>0</v>
      </c>
      <c r="BP249" s="286">
        <f t="shared" si="1108"/>
        <v>0</v>
      </c>
      <c r="BQ249" s="286">
        <f t="shared" si="1108"/>
        <v>0</v>
      </c>
      <c r="BR249" s="286">
        <f t="shared" si="1108"/>
        <v>0</v>
      </c>
      <c r="BS249" s="286">
        <f t="shared" si="1108"/>
        <v>0</v>
      </c>
      <c r="BT249" s="286">
        <f t="shared" si="1108"/>
        <v>0</v>
      </c>
      <c r="BU249" s="286">
        <f t="shared" si="1108"/>
        <v>0</v>
      </c>
      <c r="BV249" s="286">
        <f t="shared" si="1108"/>
        <v>0</v>
      </c>
      <c r="BW249" s="286">
        <f t="shared" si="1108"/>
        <v>0</v>
      </c>
      <c r="BX249" s="1"/>
      <c r="BY249" s="1"/>
      <c r="BZ249" s="1"/>
      <c r="CA249" s="1"/>
      <c r="CB249" s="1"/>
      <c r="CC249" s="1"/>
      <c r="CD249" s="1"/>
      <c r="CE249" s="1"/>
      <c r="CF249" s="1"/>
      <c r="CG249" s="1"/>
    </row>
    <row r="250" spans="1:85" ht="15.75" customHeight="1">
      <c r="A250" s="289"/>
      <c r="B250" s="278"/>
      <c r="C250" s="290" t="s">
        <v>476</v>
      </c>
      <c r="D250" s="291" t="s">
        <v>535</v>
      </c>
      <c r="E250" s="127">
        <v>15000</v>
      </c>
      <c r="F250" s="71"/>
      <c r="G250" s="71">
        <f t="shared" ref="G250:G252" si="1109">E250-F250</f>
        <v>15000</v>
      </c>
      <c r="H250" s="70"/>
      <c r="I250" s="72">
        <f t="shared" si="723"/>
        <v>0</v>
      </c>
      <c r="J250" s="72">
        <f t="shared" si="724"/>
        <v>0</v>
      </c>
      <c r="K250" s="279"/>
      <c r="L250" s="280"/>
      <c r="M250" s="276"/>
      <c r="N250" s="279"/>
      <c r="O250" s="77">
        <f t="shared" ref="O250:Q250" si="1110">AA250+AD250+AG250+AJ250+AM250+AP250+AS250+AV250+AY250+BB250+BE250+BH250</f>
        <v>0</v>
      </c>
      <c r="P250" s="77">
        <f t="shared" si="1110"/>
        <v>0</v>
      </c>
      <c r="Q250" s="77">
        <f t="shared" si="1110"/>
        <v>0</v>
      </c>
      <c r="R250" s="77">
        <f t="shared" ref="R250:T250" si="1111">IF(BK250=0,SUM(AA250+AD250+AG250+AJ250+AM250+AP250+AS250+AV250+AY250+BB250+BE250+BH250),BK250)</f>
        <v>0</v>
      </c>
      <c r="S250" s="77">
        <f t="shared" si="1111"/>
        <v>0</v>
      </c>
      <c r="T250" s="77">
        <f t="shared" si="1111"/>
        <v>0</v>
      </c>
      <c r="U250" s="79">
        <f t="shared" ref="U250:U252" si="1112">K250-O250</f>
        <v>0</v>
      </c>
      <c r="V250" s="79">
        <f t="shared" ref="V250:V252" si="1113">L250-M250-S250</f>
        <v>0</v>
      </c>
      <c r="W250" s="79">
        <f t="shared" ref="W250:W252" si="1114">N250-Q250</f>
        <v>0</v>
      </c>
      <c r="X250" s="80">
        <f t="shared" ref="X250:Y250" si="1115">IF(O250&gt;0,O250/K250,0)</f>
        <v>0</v>
      </c>
      <c r="Y250" s="80">
        <f t="shared" si="1115"/>
        <v>0</v>
      </c>
      <c r="Z250" s="80">
        <f t="shared" si="720"/>
        <v>0</v>
      </c>
      <c r="AA250" s="280"/>
      <c r="AB250" s="280"/>
      <c r="AC250" s="280"/>
      <c r="AD250" s="280"/>
      <c r="AE250" s="280"/>
      <c r="AF250" s="280"/>
      <c r="AG250" s="280"/>
      <c r="AH250" s="280"/>
      <c r="AI250" s="280"/>
      <c r="AJ250" s="280"/>
      <c r="AK250" s="280"/>
      <c r="AL250" s="280"/>
      <c r="AM250" s="280"/>
      <c r="AN250" s="280"/>
      <c r="AO250" s="280"/>
      <c r="AP250" s="280"/>
      <c r="AQ250" s="280"/>
      <c r="AR250" s="280"/>
      <c r="AS250" s="280"/>
      <c r="AT250" s="280"/>
      <c r="AU250" s="280"/>
      <c r="AV250" s="280"/>
      <c r="AW250" s="280"/>
      <c r="AX250" s="280"/>
      <c r="AY250" s="280"/>
      <c r="AZ250" s="280"/>
      <c r="BA250" s="280"/>
      <c r="BB250" s="280"/>
      <c r="BC250" s="280"/>
      <c r="BD250" s="280"/>
      <c r="BE250" s="280"/>
      <c r="BF250" s="280"/>
      <c r="BG250" s="280"/>
      <c r="BH250" s="280"/>
      <c r="BI250" s="280"/>
      <c r="BJ250" s="280"/>
      <c r="BK250" s="82">
        <v>0</v>
      </c>
      <c r="BL250" s="82">
        <v>0</v>
      </c>
      <c r="BM250" s="82">
        <v>0</v>
      </c>
      <c r="BN250" s="81">
        <f t="shared" ref="BN250:BN252" si="1116">IF(O250-BK250&gt;0,O250-BK250,0)</f>
        <v>0</v>
      </c>
      <c r="BO250" s="75">
        <f t="shared" ref="BO250:BO252" si="1117">IF(Q250-BM250&gt;0,Q250-BM250,0)</f>
        <v>0</v>
      </c>
      <c r="BP250" s="81">
        <f t="shared" ref="BP250:BP252" si="1118">IF(BN250+BO250&gt;0,BN250+BO250,0)</f>
        <v>0</v>
      </c>
      <c r="BQ250" s="81">
        <f t="shared" ref="BQ250:BQ252" si="1119">IF(U250=0,0,U250)</f>
        <v>0</v>
      </c>
      <c r="BR250" s="81">
        <f t="shared" ref="BR250:BR252" si="1120">IF(W250=0,0,W250)</f>
        <v>0</v>
      </c>
      <c r="BS250" s="81">
        <f t="shared" ref="BS250:BS252" si="1121">IF(BQ250+BR250&gt;0,BQ250+BR250,0)</f>
        <v>0</v>
      </c>
      <c r="BT250" s="81">
        <f t="shared" ref="BT250:BT252" si="1122">IF(V250&gt;0,V250,0)</f>
        <v>0</v>
      </c>
      <c r="BU250" s="81">
        <f t="shared" ref="BU250:BU252" si="1123">IF(BP250=0,0,BP250)</f>
        <v>0</v>
      </c>
      <c r="BV250" s="81">
        <f t="shared" ref="BV250:BV252" si="1124">IF(BS250=0,0,BS250)</f>
        <v>0</v>
      </c>
      <c r="BW250" s="81">
        <f t="shared" ref="BW250:BW252" si="1125">IF(BP250+BT250+BV250&gt;0,BP250+BT250+BV250,0)</f>
        <v>0</v>
      </c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</row>
    <row r="251" spans="1:85" ht="15.75" customHeight="1">
      <c r="A251" s="289"/>
      <c r="B251" s="278"/>
      <c r="C251" s="86" t="s">
        <v>209</v>
      </c>
      <c r="D251" s="292" t="s">
        <v>536</v>
      </c>
      <c r="E251" s="70">
        <v>1200</v>
      </c>
      <c r="F251" s="71"/>
      <c r="G251" s="71">
        <f t="shared" si="1109"/>
        <v>1200</v>
      </c>
      <c r="H251" s="70"/>
      <c r="I251" s="72">
        <f t="shared" si="723"/>
        <v>0</v>
      </c>
      <c r="J251" s="72">
        <f t="shared" si="724"/>
        <v>0</v>
      </c>
      <c r="K251" s="279"/>
      <c r="L251" s="280"/>
      <c r="M251" s="276"/>
      <c r="N251" s="279"/>
      <c r="O251" s="77">
        <f t="shared" ref="O251:Q251" si="1126">AA251+AD251+AG251+AJ251+AM251+AP251+AS251+AV251+AY251+BB251+BE251+BH251</f>
        <v>0</v>
      </c>
      <c r="P251" s="77">
        <f t="shared" si="1126"/>
        <v>0</v>
      </c>
      <c r="Q251" s="77">
        <f t="shared" si="1126"/>
        <v>0</v>
      </c>
      <c r="R251" s="77">
        <f t="shared" ref="R251:T251" si="1127">IF(BK251=0,SUM(AA251+AD251+AG251+AJ251+AM251+AP251+AS251+AV251+AY251+BB251+BE251+BH251),BK251)</f>
        <v>0</v>
      </c>
      <c r="S251" s="77">
        <f t="shared" si="1127"/>
        <v>0</v>
      </c>
      <c r="T251" s="77">
        <f t="shared" si="1127"/>
        <v>0</v>
      </c>
      <c r="U251" s="79">
        <f t="shared" si="1112"/>
        <v>0</v>
      </c>
      <c r="V251" s="79">
        <f t="shared" si="1113"/>
        <v>0</v>
      </c>
      <c r="W251" s="79">
        <f t="shared" si="1114"/>
        <v>0</v>
      </c>
      <c r="X251" s="80">
        <f t="shared" ref="X251:Y251" si="1128">IF(O251&gt;0,O251/K251,0)</f>
        <v>0</v>
      </c>
      <c r="Y251" s="80">
        <f t="shared" si="1128"/>
        <v>0</v>
      </c>
      <c r="Z251" s="80">
        <f t="shared" si="720"/>
        <v>0</v>
      </c>
      <c r="AA251" s="280"/>
      <c r="AB251" s="280"/>
      <c r="AC251" s="280"/>
      <c r="AD251" s="280"/>
      <c r="AE251" s="280"/>
      <c r="AF251" s="280"/>
      <c r="AG251" s="280"/>
      <c r="AH251" s="280"/>
      <c r="AI251" s="280"/>
      <c r="AJ251" s="280"/>
      <c r="AK251" s="280"/>
      <c r="AL251" s="280"/>
      <c r="AM251" s="280"/>
      <c r="AN251" s="280"/>
      <c r="AO251" s="280"/>
      <c r="AP251" s="280"/>
      <c r="AQ251" s="280"/>
      <c r="AR251" s="280"/>
      <c r="AS251" s="280"/>
      <c r="AT251" s="280"/>
      <c r="AU251" s="280"/>
      <c r="AV251" s="280"/>
      <c r="AW251" s="280"/>
      <c r="AX251" s="280"/>
      <c r="AY251" s="280"/>
      <c r="AZ251" s="280"/>
      <c r="BA251" s="280"/>
      <c r="BB251" s="280"/>
      <c r="BC251" s="280"/>
      <c r="BD251" s="280"/>
      <c r="BE251" s="280"/>
      <c r="BF251" s="280"/>
      <c r="BG251" s="280"/>
      <c r="BH251" s="280"/>
      <c r="BI251" s="280"/>
      <c r="BJ251" s="280"/>
      <c r="BK251" s="82">
        <v>0</v>
      </c>
      <c r="BL251" s="82">
        <v>0</v>
      </c>
      <c r="BM251" s="82">
        <v>0</v>
      </c>
      <c r="BN251" s="81">
        <f t="shared" si="1116"/>
        <v>0</v>
      </c>
      <c r="BO251" s="75">
        <f t="shared" si="1117"/>
        <v>0</v>
      </c>
      <c r="BP251" s="81">
        <f t="shared" si="1118"/>
        <v>0</v>
      </c>
      <c r="BQ251" s="81">
        <f t="shared" si="1119"/>
        <v>0</v>
      </c>
      <c r="BR251" s="81">
        <f t="shared" si="1120"/>
        <v>0</v>
      </c>
      <c r="BS251" s="81">
        <f t="shared" si="1121"/>
        <v>0</v>
      </c>
      <c r="BT251" s="81">
        <f t="shared" si="1122"/>
        <v>0</v>
      </c>
      <c r="BU251" s="81">
        <f t="shared" si="1123"/>
        <v>0</v>
      </c>
      <c r="BV251" s="81">
        <f t="shared" si="1124"/>
        <v>0</v>
      </c>
      <c r="BW251" s="81">
        <f t="shared" si="1125"/>
        <v>0</v>
      </c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</row>
    <row r="252" spans="1:85" ht="15.75" customHeight="1">
      <c r="A252" s="289"/>
      <c r="B252" s="278"/>
      <c r="C252" s="86" t="s">
        <v>507</v>
      </c>
      <c r="D252" s="292" t="s">
        <v>537</v>
      </c>
      <c r="E252" s="70">
        <v>3800</v>
      </c>
      <c r="F252" s="71"/>
      <c r="G252" s="71">
        <f t="shared" si="1109"/>
        <v>3800</v>
      </c>
      <c r="H252" s="70"/>
      <c r="I252" s="72">
        <f t="shared" si="723"/>
        <v>0</v>
      </c>
      <c r="J252" s="72">
        <f t="shared" si="724"/>
        <v>0</v>
      </c>
      <c r="K252" s="279"/>
      <c r="L252" s="280"/>
      <c r="M252" s="276"/>
      <c r="N252" s="279"/>
      <c r="O252" s="77">
        <f t="shared" ref="O252:Q252" si="1129">AA252+AD252+AG252+AJ252+AM252+AP252+AS252+AV252+AY252+BB252+BE252+BH252</f>
        <v>0</v>
      </c>
      <c r="P252" s="77">
        <f t="shared" si="1129"/>
        <v>0</v>
      </c>
      <c r="Q252" s="77">
        <f t="shared" si="1129"/>
        <v>0</v>
      </c>
      <c r="R252" s="77">
        <f t="shared" ref="R252:T252" si="1130">IF(BK252=0,SUM(AA252+AD252+AG252+AJ252+AM252+AP252+AS252+AV252+AY252+BB252+BE252+BH252),BK252)</f>
        <v>0</v>
      </c>
      <c r="S252" s="77">
        <f t="shared" si="1130"/>
        <v>0</v>
      </c>
      <c r="T252" s="77">
        <f t="shared" si="1130"/>
        <v>0</v>
      </c>
      <c r="U252" s="79">
        <f t="shared" si="1112"/>
        <v>0</v>
      </c>
      <c r="V252" s="79">
        <f t="shared" si="1113"/>
        <v>0</v>
      </c>
      <c r="W252" s="79">
        <f t="shared" si="1114"/>
        <v>0</v>
      </c>
      <c r="X252" s="80">
        <f t="shared" ref="X252:Y252" si="1131">IF(O252&gt;0,O252/K252,0)</f>
        <v>0</v>
      </c>
      <c r="Y252" s="80">
        <f t="shared" si="1131"/>
        <v>0</v>
      </c>
      <c r="Z252" s="80">
        <f t="shared" si="720"/>
        <v>0</v>
      </c>
      <c r="AA252" s="280"/>
      <c r="AB252" s="280"/>
      <c r="AC252" s="280"/>
      <c r="AD252" s="280"/>
      <c r="AE252" s="280"/>
      <c r="AF252" s="280"/>
      <c r="AG252" s="280"/>
      <c r="AH252" s="280"/>
      <c r="AI252" s="280"/>
      <c r="AJ252" s="280"/>
      <c r="AK252" s="280"/>
      <c r="AL252" s="280"/>
      <c r="AM252" s="280"/>
      <c r="AN252" s="280"/>
      <c r="AO252" s="280"/>
      <c r="AP252" s="280"/>
      <c r="AQ252" s="280"/>
      <c r="AR252" s="280"/>
      <c r="AS252" s="280"/>
      <c r="AT252" s="280"/>
      <c r="AU252" s="280"/>
      <c r="AV252" s="280"/>
      <c r="AW252" s="280"/>
      <c r="AX252" s="280"/>
      <c r="AY252" s="280"/>
      <c r="AZ252" s="280"/>
      <c r="BA252" s="280"/>
      <c r="BB252" s="280"/>
      <c r="BC252" s="280"/>
      <c r="BD252" s="280"/>
      <c r="BE252" s="280"/>
      <c r="BF252" s="280"/>
      <c r="BG252" s="280"/>
      <c r="BH252" s="280"/>
      <c r="BI252" s="280"/>
      <c r="BJ252" s="280"/>
      <c r="BK252" s="82">
        <v>0</v>
      </c>
      <c r="BL252" s="82">
        <v>0</v>
      </c>
      <c r="BM252" s="82">
        <v>0</v>
      </c>
      <c r="BN252" s="81">
        <f t="shared" si="1116"/>
        <v>0</v>
      </c>
      <c r="BO252" s="75">
        <f t="shared" si="1117"/>
        <v>0</v>
      </c>
      <c r="BP252" s="81">
        <f t="shared" si="1118"/>
        <v>0</v>
      </c>
      <c r="BQ252" s="81">
        <f t="shared" si="1119"/>
        <v>0</v>
      </c>
      <c r="BR252" s="81">
        <f t="shared" si="1120"/>
        <v>0</v>
      </c>
      <c r="BS252" s="81">
        <f t="shared" si="1121"/>
        <v>0</v>
      </c>
      <c r="BT252" s="81">
        <f t="shared" si="1122"/>
        <v>0</v>
      </c>
      <c r="BU252" s="81">
        <f t="shared" si="1123"/>
        <v>0</v>
      </c>
      <c r="BV252" s="81">
        <f t="shared" si="1124"/>
        <v>0</v>
      </c>
      <c r="BW252" s="81">
        <f t="shared" si="1125"/>
        <v>0</v>
      </c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</row>
    <row r="253" spans="1:85" ht="15.75" customHeight="1">
      <c r="A253" s="270"/>
      <c r="B253" s="271"/>
      <c r="C253" s="272"/>
      <c r="D253" s="112" t="s">
        <v>251</v>
      </c>
      <c r="E253" s="58">
        <f t="shared" ref="E253:H253" si="1132">E254</f>
        <v>30000</v>
      </c>
      <c r="F253" s="59">
        <f t="shared" si="1132"/>
        <v>8907.0199999999968</v>
      </c>
      <c r="G253" s="59">
        <f t="shared" si="1132"/>
        <v>21092.980000000003</v>
      </c>
      <c r="H253" s="59">
        <f t="shared" si="1132"/>
        <v>0</v>
      </c>
      <c r="I253" s="60">
        <f t="shared" si="723"/>
        <v>0</v>
      </c>
      <c r="J253" s="60">
        <f t="shared" si="724"/>
        <v>0</v>
      </c>
      <c r="K253" s="59">
        <f t="shared" ref="K253:W253" si="1133">K254</f>
        <v>0</v>
      </c>
      <c r="L253" s="59">
        <f t="shared" si="1133"/>
        <v>0</v>
      </c>
      <c r="M253" s="59">
        <f t="shared" si="1133"/>
        <v>0</v>
      </c>
      <c r="N253" s="59">
        <f t="shared" si="1133"/>
        <v>0</v>
      </c>
      <c r="O253" s="59">
        <f t="shared" si="1133"/>
        <v>0</v>
      </c>
      <c r="P253" s="59">
        <f t="shared" si="1133"/>
        <v>0</v>
      </c>
      <c r="Q253" s="59">
        <f t="shared" si="1133"/>
        <v>0</v>
      </c>
      <c r="R253" s="59">
        <f t="shared" si="1133"/>
        <v>0</v>
      </c>
      <c r="S253" s="59">
        <f t="shared" si="1133"/>
        <v>0</v>
      </c>
      <c r="T253" s="59">
        <f t="shared" si="1133"/>
        <v>0</v>
      </c>
      <c r="U253" s="59">
        <f t="shared" si="1133"/>
        <v>0</v>
      </c>
      <c r="V253" s="59">
        <f t="shared" si="1133"/>
        <v>0</v>
      </c>
      <c r="W253" s="59">
        <f t="shared" si="1133"/>
        <v>0</v>
      </c>
      <c r="X253" s="63">
        <f t="shared" ref="X253:Y253" si="1134">IF(O253&gt;0,O253/K253,0)</f>
        <v>0</v>
      </c>
      <c r="Y253" s="63">
        <f t="shared" si="1134"/>
        <v>0</v>
      </c>
      <c r="Z253" s="63">
        <f t="shared" si="720"/>
        <v>0</v>
      </c>
      <c r="AA253" s="59">
        <f t="shared" ref="AA253:BW253" si="1135">AA254</f>
        <v>0</v>
      </c>
      <c r="AB253" s="59">
        <f t="shared" si="1135"/>
        <v>0</v>
      </c>
      <c r="AC253" s="59">
        <f t="shared" si="1135"/>
        <v>0</v>
      </c>
      <c r="AD253" s="59">
        <f t="shared" si="1135"/>
        <v>0</v>
      </c>
      <c r="AE253" s="59">
        <f t="shared" si="1135"/>
        <v>0</v>
      </c>
      <c r="AF253" s="59">
        <f t="shared" si="1135"/>
        <v>0</v>
      </c>
      <c r="AG253" s="59">
        <f t="shared" si="1135"/>
        <v>0</v>
      </c>
      <c r="AH253" s="59">
        <f t="shared" si="1135"/>
        <v>0</v>
      </c>
      <c r="AI253" s="59">
        <f t="shared" si="1135"/>
        <v>0</v>
      </c>
      <c r="AJ253" s="59">
        <f t="shared" si="1135"/>
        <v>0</v>
      </c>
      <c r="AK253" s="59">
        <f t="shared" si="1135"/>
        <v>0</v>
      </c>
      <c r="AL253" s="59">
        <f t="shared" si="1135"/>
        <v>0</v>
      </c>
      <c r="AM253" s="59">
        <f t="shared" si="1135"/>
        <v>0</v>
      </c>
      <c r="AN253" s="59">
        <f t="shared" si="1135"/>
        <v>0</v>
      </c>
      <c r="AO253" s="59">
        <f t="shared" si="1135"/>
        <v>0</v>
      </c>
      <c r="AP253" s="59">
        <f t="shared" si="1135"/>
        <v>0</v>
      </c>
      <c r="AQ253" s="59">
        <f t="shared" si="1135"/>
        <v>0</v>
      </c>
      <c r="AR253" s="59">
        <f t="shared" si="1135"/>
        <v>0</v>
      </c>
      <c r="AS253" s="59">
        <f t="shared" si="1135"/>
        <v>0</v>
      </c>
      <c r="AT253" s="59">
        <f t="shared" si="1135"/>
        <v>0</v>
      </c>
      <c r="AU253" s="59">
        <f t="shared" si="1135"/>
        <v>0</v>
      </c>
      <c r="AV253" s="59">
        <f t="shared" si="1135"/>
        <v>0</v>
      </c>
      <c r="AW253" s="59">
        <f t="shared" si="1135"/>
        <v>0</v>
      </c>
      <c r="AX253" s="59">
        <f t="shared" si="1135"/>
        <v>0</v>
      </c>
      <c r="AY253" s="59">
        <f t="shared" si="1135"/>
        <v>0</v>
      </c>
      <c r="AZ253" s="59">
        <f t="shared" si="1135"/>
        <v>0</v>
      </c>
      <c r="BA253" s="59">
        <f t="shared" si="1135"/>
        <v>0</v>
      </c>
      <c r="BB253" s="59">
        <f t="shared" si="1135"/>
        <v>0</v>
      </c>
      <c r="BC253" s="59">
        <f t="shared" si="1135"/>
        <v>0</v>
      </c>
      <c r="BD253" s="59">
        <f t="shared" si="1135"/>
        <v>0</v>
      </c>
      <c r="BE253" s="59">
        <f t="shared" si="1135"/>
        <v>0</v>
      </c>
      <c r="BF253" s="59">
        <f t="shared" si="1135"/>
        <v>0</v>
      </c>
      <c r="BG253" s="59">
        <f t="shared" si="1135"/>
        <v>0</v>
      </c>
      <c r="BH253" s="59">
        <f t="shared" si="1135"/>
        <v>0</v>
      </c>
      <c r="BI253" s="59">
        <f t="shared" si="1135"/>
        <v>0</v>
      </c>
      <c r="BJ253" s="59">
        <f t="shared" si="1135"/>
        <v>0</v>
      </c>
      <c r="BK253" s="59">
        <f t="shared" si="1135"/>
        <v>0</v>
      </c>
      <c r="BL253" s="59">
        <f t="shared" si="1135"/>
        <v>0</v>
      </c>
      <c r="BM253" s="59">
        <f t="shared" si="1135"/>
        <v>0</v>
      </c>
      <c r="BN253" s="59">
        <f t="shared" si="1135"/>
        <v>0</v>
      </c>
      <c r="BO253" s="59">
        <f t="shared" si="1135"/>
        <v>0</v>
      </c>
      <c r="BP253" s="59">
        <f t="shared" si="1135"/>
        <v>0</v>
      </c>
      <c r="BQ253" s="59">
        <f t="shared" si="1135"/>
        <v>0</v>
      </c>
      <c r="BR253" s="59">
        <f t="shared" si="1135"/>
        <v>0</v>
      </c>
      <c r="BS253" s="59">
        <f t="shared" si="1135"/>
        <v>0</v>
      </c>
      <c r="BT253" s="59">
        <f t="shared" si="1135"/>
        <v>0</v>
      </c>
      <c r="BU253" s="59">
        <f t="shared" si="1135"/>
        <v>0</v>
      </c>
      <c r="BV253" s="59">
        <f t="shared" si="1135"/>
        <v>0</v>
      </c>
      <c r="BW253" s="59">
        <f t="shared" si="1135"/>
        <v>0</v>
      </c>
      <c r="BX253" s="1"/>
      <c r="BY253" s="1"/>
      <c r="BZ253" s="1"/>
      <c r="CA253" s="1"/>
      <c r="CB253" s="1"/>
      <c r="CC253" s="1"/>
      <c r="CD253" s="1"/>
      <c r="CE253" s="1"/>
      <c r="CF253" s="1"/>
      <c r="CG253" s="1"/>
    </row>
    <row r="254" spans="1:85" ht="15.75" customHeight="1">
      <c r="A254" s="289"/>
      <c r="B254" s="278"/>
      <c r="C254" s="86" t="s">
        <v>256</v>
      </c>
      <c r="D254" s="87" t="s">
        <v>446</v>
      </c>
      <c r="E254" s="70">
        <v>30000</v>
      </c>
      <c r="F254" s="71">
        <f>69628.65-60721.63</f>
        <v>8907.0199999999968</v>
      </c>
      <c r="G254" s="71">
        <f>E254-F254</f>
        <v>21092.980000000003</v>
      </c>
      <c r="H254" s="70"/>
      <c r="I254" s="72">
        <f t="shared" si="723"/>
        <v>0</v>
      </c>
      <c r="J254" s="72">
        <f t="shared" si="724"/>
        <v>0</v>
      </c>
      <c r="K254" s="279"/>
      <c r="L254" s="280"/>
      <c r="M254" s="276"/>
      <c r="N254" s="279"/>
      <c r="O254" s="77">
        <f t="shared" ref="O254:Q254" si="1136">AA254+AD254+AG254+AJ254+AM254+AP254+AS254+AV254+AY254+BB254+BE254+BH254</f>
        <v>0</v>
      </c>
      <c r="P254" s="77">
        <f t="shared" si="1136"/>
        <v>0</v>
      </c>
      <c r="Q254" s="77">
        <f t="shared" si="1136"/>
        <v>0</v>
      </c>
      <c r="R254" s="77">
        <f t="shared" ref="R254:T254" si="1137">IF(BK254=0,SUM(AA254+AD254+AG254+AJ254+AM254+AP254+AS254+AV254+AY254+BB254+BE254+BH254),BK254)</f>
        <v>0</v>
      </c>
      <c r="S254" s="77">
        <f t="shared" si="1137"/>
        <v>0</v>
      </c>
      <c r="T254" s="77">
        <f t="shared" si="1137"/>
        <v>0</v>
      </c>
      <c r="U254" s="79">
        <f>K254-O254</f>
        <v>0</v>
      </c>
      <c r="V254" s="79">
        <f>L254-M254-S254</f>
        <v>0</v>
      </c>
      <c r="W254" s="79">
        <f>N254-Q254</f>
        <v>0</v>
      </c>
      <c r="X254" s="80">
        <f t="shared" ref="X254:Y254" si="1138">IF(O254&gt;0,O254/K254,0)</f>
        <v>0</v>
      </c>
      <c r="Y254" s="80">
        <f t="shared" si="1138"/>
        <v>0</v>
      </c>
      <c r="Z254" s="80">
        <f t="shared" si="720"/>
        <v>0</v>
      </c>
      <c r="AA254" s="280"/>
      <c r="AB254" s="280"/>
      <c r="AC254" s="280"/>
      <c r="AD254" s="280"/>
      <c r="AE254" s="280"/>
      <c r="AF254" s="280"/>
      <c r="AG254" s="280"/>
      <c r="AH254" s="280"/>
      <c r="AI254" s="280"/>
      <c r="AJ254" s="280"/>
      <c r="AK254" s="280"/>
      <c r="AL254" s="280"/>
      <c r="AM254" s="280"/>
      <c r="AN254" s="280"/>
      <c r="AO254" s="280"/>
      <c r="AP254" s="280"/>
      <c r="AQ254" s="280"/>
      <c r="AR254" s="280"/>
      <c r="AS254" s="280"/>
      <c r="AT254" s="280"/>
      <c r="AU254" s="280"/>
      <c r="AV254" s="280"/>
      <c r="AW254" s="280"/>
      <c r="AX254" s="280"/>
      <c r="AY254" s="280"/>
      <c r="AZ254" s="280"/>
      <c r="BA254" s="280"/>
      <c r="BB254" s="280"/>
      <c r="BC254" s="280"/>
      <c r="BD254" s="280"/>
      <c r="BE254" s="280"/>
      <c r="BF254" s="280"/>
      <c r="BG254" s="280"/>
      <c r="BH254" s="280"/>
      <c r="BI254" s="280"/>
      <c r="BJ254" s="280"/>
      <c r="BK254" s="82">
        <v>0</v>
      </c>
      <c r="BL254" s="82">
        <v>0</v>
      </c>
      <c r="BM254" s="82">
        <v>0</v>
      </c>
      <c r="BN254" s="81">
        <f>IF(O254-BK254&gt;0,O254-BK254,0)</f>
        <v>0</v>
      </c>
      <c r="BO254" s="75">
        <f>IF(Q254-BM254&gt;0,Q254-BM254,0)</f>
        <v>0</v>
      </c>
      <c r="BP254" s="81">
        <f>IF(BN254+BO254&gt;0,BN254+BO254,0)</f>
        <v>0</v>
      </c>
      <c r="BQ254" s="81">
        <f>IF(U254=0,0,U254)</f>
        <v>0</v>
      </c>
      <c r="BR254" s="81">
        <f>IF(W254=0,0,W254)</f>
        <v>0</v>
      </c>
      <c r="BS254" s="81">
        <f>IF(BQ254+BR254&gt;0,BQ254+BR254,0)</f>
        <v>0</v>
      </c>
      <c r="BT254" s="81">
        <f>IF(V254&gt;0,V254,0)</f>
        <v>0</v>
      </c>
      <c r="BU254" s="81">
        <f>IF(BP254=0,0,BP254)</f>
        <v>0</v>
      </c>
      <c r="BV254" s="81">
        <f>IF(BS254=0,0,BS254)</f>
        <v>0</v>
      </c>
      <c r="BW254" s="81">
        <f>IF(BP254+BT254+BV254&gt;0,BP254+BT254+BV254,0)</f>
        <v>0</v>
      </c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</row>
    <row r="255" spans="1:85" ht="15.75">
      <c r="A255" s="270"/>
      <c r="B255" s="271"/>
      <c r="C255" s="272"/>
      <c r="D255" s="112" t="s">
        <v>330</v>
      </c>
      <c r="E255" s="286">
        <f t="shared" ref="E255:H255" si="1139">SUM(E256:E258)</f>
        <v>60721.63</v>
      </c>
      <c r="F255" s="286">
        <f t="shared" si="1139"/>
        <v>60721.63</v>
      </c>
      <c r="G255" s="286">
        <f t="shared" si="1139"/>
        <v>0</v>
      </c>
      <c r="H255" s="286">
        <f t="shared" si="1139"/>
        <v>0</v>
      </c>
      <c r="I255" s="287">
        <f t="shared" si="723"/>
        <v>0</v>
      </c>
      <c r="J255" s="287">
        <f t="shared" si="724"/>
        <v>0</v>
      </c>
      <c r="K255" s="286">
        <f t="shared" ref="K255:W255" si="1140">SUM(K256:K258)</f>
        <v>0</v>
      </c>
      <c r="L255" s="286">
        <f t="shared" si="1140"/>
        <v>0</v>
      </c>
      <c r="M255" s="286">
        <f t="shared" si="1140"/>
        <v>0</v>
      </c>
      <c r="N255" s="286">
        <f t="shared" si="1140"/>
        <v>0</v>
      </c>
      <c r="O255" s="286">
        <f t="shared" si="1140"/>
        <v>0</v>
      </c>
      <c r="P255" s="286">
        <f t="shared" si="1140"/>
        <v>0</v>
      </c>
      <c r="Q255" s="286">
        <f t="shared" si="1140"/>
        <v>0</v>
      </c>
      <c r="R255" s="286">
        <f t="shared" si="1140"/>
        <v>0</v>
      </c>
      <c r="S255" s="286">
        <f t="shared" si="1140"/>
        <v>0</v>
      </c>
      <c r="T255" s="286">
        <f t="shared" si="1140"/>
        <v>0</v>
      </c>
      <c r="U255" s="286">
        <f t="shared" si="1140"/>
        <v>0</v>
      </c>
      <c r="V255" s="286">
        <f t="shared" si="1140"/>
        <v>0</v>
      </c>
      <c r="W255" s="286">
        <f t="shared" si="1140"/>
        <v>0</v>
      </c>
      <c r="X255" s="288">
        <f t="shared" ref="X255:Y255" si="1141">IF(O255&gt;0,O255/K255,0)</f>
        <v>0</v>
      </c>
      <c r="Y255" s="288">
        <f t="shared" si="1141"/>
        <v>0</v>
      </c>
      <c r="Z255" s="288">
        <f t="shared" si="720"/>
        <v>0</v>
      </c>
      <c r="AA255" s="286">
        <f t="shared" ref="AA255:BW255" si="1142">SUM(AA256:AA258)</f>
        <v>0</v>
      </c>
      <c r="AB255" s="286">
        <f t="shared" si="1142"/>
        <v>0</v>
      </c>
      <c r="AC255" s="286">
        <f t="shared" si="1142"/>
        <v>0</v>
      </c>
      <c r="AD255" s="286">
        <f t="shared" si="1142"/>
        <v>0</v>
      </c>
      <c r="AE255" s="286">
        <f t="shared" si="1142"/>
        <v>0</v>
      </c>
      <c r="AF255" s="286">
        <f t="shared" si="1142"/>
        <v>0</v>
      </c>
      <c r="AG255" s="286">
        <f t="shared" si="1142"/>
        <v>0</v>
      </c>
      <c r="AH255" s="286">
        <f t="shared" si="1142"/>
        <v>0</v>
      </c>
      <c r="AI255" s="286">
        <f t="shared" si="1142"/>
        <v>0</v>
      </c>
      <c r="AJ255" s="286">
        <f t="shared" si="1142"/>
        <v>0</v>
      </c>
      <c r="AK255" s="286">
        <f t="shared" si="1142"/>
        <v>0</v>
      </c>
      <c r="AL255" s="286">
        <f t="shared" si="1142"/>
        <v>0</v>
      </c>
      <c r="AM255" s="286">
        <f t="shared" si="1142"/>
        <v>0</v>
      </c>
      <c r="AN255" s="286">
        <f t="shared" si="1142"/>
        <v>0</v>
      </c>
      <c r="AO255" s="286">
        <f t="shared" si="1142"/>
        <v>0</v>
      </c>
      <c r="AP255" s="286">
        <f t="shared" si="1142"/>
        <v>0</v>
      </c>
      <c r="AQ255" s="286">
        <f t="shared" si="1142"/>
        <v>0</v>
      </c>
      <c r="AR255" s="286">
        <f t="shared" si="1142"/>
        <v>0</v>
      </c>
      <c r="AS255" s="286">
        <f t="shared" si="1142"/>
        <v>0</v>
      </c>
      <c r="AT255" s="286">
        <f t="shared" si="1142"/>
        <v>0</v>
      </c>
      <c r="AU255" s="286">
        <f t="shared" si="1142"/>
        <v>0</v>
      </c>
      <c r="AV255" s="286">
        <f t="shared" si="1142"/>
        <v>0</v>
      </c>
      <c r="AW255" s="286">
        <f t="shared" si="1142"/>
        <v>0</v>
      </c>
      <c r="AX255" s="286">
        <f t="shared" si="1142"/>
        <v>0</v>
      </c>
      <c r="AY255" s="286">
        <f t="shared" si="1142"/>
        <v>0</v>
      </c>
      <c r="AZ255" s="286">
        <f t="shared" si="1142"/>
        <v>0</v>
      </c>
      <c r="BA255" s="286">
        <f t="shared" si="1142"/>
        <v>0</v>
      </c>
      <c r="BB255" s="286">
        <f t="shared" si="1142"/>
        <v>0</v>
      </c>
      <c r="BC255" s="286">
        <f t="shared" si="1142"/>
        <v>0</v>
      </c>
      <c r="BD255" s="286">
        <f t="shared" si="1142"/>
        <v>0</v>
      </c>
      <c r="BE255" s="286">
        <f t="shared" si="1142"/>
        <v>0</v>
      </c>
      <c r="BF255" s="286">
        <f t="shared" si="1142"/>
        <v>0</v>
      </c>
      <c r="BG255" s="286">
        <f t="shared" si="1142"/>
        <v>0</v>
      </c>
      <c r="BH255" s="286">
        <f t="shared" si="1142"/>
        <v>0</v>
      </c>
      <c r="BI255" s="286">
        <f t="shared" si="1142"/>
        <v>0</v>
      </c>
      <c r="BJ255" s="286">
        <f t="shared" si="1142"/>
        <v>0</v>
      </c>
      <c r="BK255" s="286">
        <f t="shared" si="1142"/>
        <v>0</v>
      </c>
      <c r="BL255" s="286">
        <f t="shared" si="1142"/>
        <v>0</v>
      </c>
      <c r="BM255" s="286">
        <f t="shared" si="1142"/>
        <v>0</v>
      </c>
      <c r="BN255" s="286">
        <f t="shared" si="1142"/>
        <v>0</v>
      </c>
      <c r="BO255" s="286">
        <f t="shared" si="1142"/>
        <v>0</v>
      </c>
      <c r="BP255" s="286">
        <f t="shared" si="1142"/>
        <v>0</v>
      </c>
      <c r="BQ255" s="286">
        <f t="shared" si="1142"/>
        <v>0</v>
      </c>
      <c r="BR255" s="286">
        <f t="shared" si="1142"/>
        <v>0</v>
      </c>
      <c r="BS255" s="286">
        <f t="shared" si="1142"/>
        <v>0</v>
      </c>
      <c r="BT255" s="286">
        <f t="shared" si="1142"/>
        <v>0</v>
      </c>
      <c r="BU255" s="286">
        <f t="shared" si="1142"/>
        <v>0</v>
      </c>
      <c r="BV255" s="286">
        <f t="shared" si="1142"/>
        <v>0</v>
      </c>
      <c r="BW255" s="286">
        <f t="shared" si="1142"/>
        <v>0</v>
      </c>
      <c r="BX255" s="1"/>
      <c r="BY255" s="1"/>
      <c r="BZ255" s="1"/>
      <c r="CA255" s="1"/>
      <c r="CB255" s="1"/>
      <c r="CC255" s="1"/>
      <c r="CD255" s="1"/>
      <c r="CE255" s="1"/>
      <c r="CF255" s="1"/>
      <c r="CG255" s="1"/>
    </row>
    <row r="256" spans="1:85" ht="15.75" customHeight="1">
      <c r="A256" s="293"/>
      <c r="B256" s="294"/>
      <c r="C256" s="86" t="s">
        <v>538</v>
      </c>
      <c r="D256" s="240" t="s">
        <v>539</v>
      </c>
      <c r="E256" s="70">
        <v>3000</v>
      </c>
      <c r="F256" s="93">
        <v>3000</v>
      </c>
      <c r="G256" s="71">
        <f t="shared" ref="G256:G258" si="1143">E256-F256</f>
        <v>0</v>
      </c>
      <c r="H256" s="70"/>
      <c r="I256" s="72">
        <f t="shared" si="723"/>
        <v>0</v>
      </c>
      <c r="J256" s="72">
        <f t="shared" si="724"/>
        <v>0</v>
      </c>
      <c r="K256" s="237"/>
      <c r="L256" s="238"/>
      <c r="M256" s="236"/>
      <c r="N256" s="237"/>
      <c r="O256" s="77">
        <f t="shared" ref="O256:Q256" si="1144">AA256+AD256+AG256+AJ256+AM256+AP256+AS256+AV256+AY256+BB256+BE256+BH256</f>
        <v>0</v>
      </c>
      <c r="P256" s="77">
        <f t="shared" si="1144"/>
        <v>0</v>
      </c>
      <c r="Q256" s="77">
        <f t="shared" si="1144"/>
        <v>0</v>
      </c>
      <c r="R256" s="77">
        <f t="shared" ref="R256:T256" si="1145">IF(BK256=0,SUM(AA256+AD256+AG256+AJ256+AM256+AP256+AS256+AV256+AY256+BB256+BE256+BH256),BK256)</f>
        <v>0</v>
      </c>
      <c r="S256" s="77">
        <f t="shared" si="1145"/>
        <v>0</v>
      </c>
      <c r="T256" s="77">
        <f t="shared" si="1145"/>
        <v>0</v>
      </c>
      <c r="U256" s="79">
        <f t="shared" ref="U256:U258" si="1146">K256-O256</f>
        <v>0</v>
      </c>
      <c r="V256" s="79">
        <f t="shared" ref="V256:V258" si="1147">L256-M256-S256</f>
        <v>0</v>
      </c>
      <c r="W256" s="79">
        <f t="shared" ref="W256:W258" si="1148">N256-Q256</f>
        <v>0</v>
      </c>
      <c r="X256" s="80">
        <f t="shared" ref="X256:Y256" si="1149">IF(O256&gt;0,O256/K256,0)</f>
        <v>0</v>
      </c>
      <c r="Y256" s="80">
        <f t="shared" si="1149"/>
        <v>0</v>
      </c>
      <c r="Z256" s="80">
        <f t="shared" si="720"/>
        <v>0</v>
      </c>
      <c r="AA256" s="238"/>
      <c r="AB256" s="238"/>
      <c r="AC256" s="238"/>
      <c r="AD256" s="238"/>
      <c r="AE256" s="238"/>
      <c r="AF256" s="238"/>
      <c r="AG256" s="238"/>
      <c r="AH256" s="238"/>
      <c r="AI256" s="238"/>
      <c r="AJ256" s="238"/>
      <c r="AK256" s="238"/>
      <c r="AL256" s="238"/>
      <c r="AM256" s="238"/>
      <c r="AN256" s="238"/>
      <c r="AO256" s="238"/>
      <c r="AP256" s="238"/>
      <c r="AQ256" s="238"/>
      <c r="AR256" s="238"/>
      <c r="AS256" s="238"/>
      <c r="AT256" s="238"/>
      <c r="AU256" s="238"/>
      <c r="AV256" s="238"/>
      <c r="AW256" s="238"/>
      <c r="AX256" s="238"/>
      <c r="AY256" s="238"/>
      <c r="AZ256" s="238"/>
      <c r="BA256" s="238"/>
      <c r="BB256" s="238"/>
      <c r="BC256" s="238"/>
      <c r="BD256" s="238"/>
      <c r="BE256" s="238"/>
      <c r="BF256" s="238"/>
      <c r="BG256" s="238"/>
      <c r="BH256" s="238"/>
      <c r="BI256" s="238"/>
      <c r="BJ256" s="238"/>
      <c r="BK256" s="82">
        <v>0</v>
      </c>
      <c r="BL256" s="82">
        <v>0</v>
      </c>
      <c r="BM256" s="82">
        <v>0</v>
      </c>
      <c r="BN256" s="81">
        <f t="shared" ref="BN256:BN258" si="1150">IF(O256-BK256&gt;0,O256-BK256,0)</f>
        <v>0</v>
      </c>
      <c r="BO256" s="75">
        <f t="shared" ref="BO256:BO258" si="1151">IF(Q256-BM256&gt;0,Q256-BM256,0)</f>
        <v>0</v>
      </c>
      <c r="BP256" s="81">
        <f t="shared" ref="BP256:BP258" si="1152">IF(BN256+BO256&gt;0,BN256+BO256,0)</f>
        <v>0</v>
      </c>
      <c r="BQ256" s="81">
        <f t="shared" ref="BQ256:BQ258" si="1153">IF(U256=0,0,U256)</f>
        <v>0</v>
      </c>
      <c r="BR256" s="81">
        <f t="shared" ref="BR256:BR258" si="1154">IF(W256=0,0,W256)</f>
        <v>0</v>
      </c>
      <c r="BS256" s="81">
        <f t="shared" ref="BS256:BS258" si="1155">IF(BQ256+BR256&gt;0,BQ256+BR256,0)</f>
        <v>0</v>
      </c>
      <c r="BT256" s="81">
        <f t="shared" ref="BT256:BT258" si="1156">IF(V256&gt;0,V256,0)</f>
        <v>0</v>
      </c>
      <c r="BU256" s="81">
        <f t="shared" ref="BU256:BU258" si="1157">IF(BP256=0,0,BP256)</f>
        <v>0</v>
      </c>
      <c r="BV256" s="81">
        <f t="shared" ref="BV256:BV258" si="1158">IF(BS256=0,0,BS256)</f>
        <v>0</v>
      </c>
      <c r="BW256" s="81">
        <f t="shared" ref="BW256:BW258" si="1159">IF(BP256+BT256+BV256&gt;0,BP256+BT256+BV256,0)</f>
        <v>0</v>
      </c>
      <c r="BX256" s="1"/>
      <c r="BY256" s="1"/>
      <c r="BZ256" s="1"/>
      <c r="CA256" s="1"/>
      <c r="CB256" s="1"/>
      <c r="CC256" s="1"/>
      <c r="CD256" s="1"/>
      <c r="CE256" s="1"/>
      <c r="CF256" s="1"/>
      <c r="CG256" s="1"/>
    </row>
    <row r="257" spans="1:85" ht="15.75" customHeight="1">
      <c r="A257" s="293"/>
      <c r="B257" s="294"/>
      <c r="C257" s="86" t="s">
        <v>513</v>
      </c>
      <c r="D257" s="240" t="s">
        <v>540</v>
      </c>
      <c r="E257" s="70">
        <v>17000</v>
      </c>
      <c r="F257" s="93">
        <v>17000</v>
      </c>
      <c r="G257" s="71">
        <f t="shared" si="1143"/>
        <v>0</v>
      </c>
      <c r="H257" s="70"/>
      <c r="I257" s="72">
        <f t="shared" si="723"/>
        <v>0</v>
      </c>
      <c r="J257" s="72">
        <f t="shared" si="724"/>
        <v>0</v>
      </c>
      <c r="K257" s="237"/>
      <c r="L257" s="238"/>
      <c r="M257" s="236"/>
      <c r="N257" s="237"/>
      <c r="O257" s="77">
        <f t="shared" ref="O257:Q257" si="1160">AA257+AD257+AG257+AJ257+AM257+AP257+AS257+AV257+AY257+BB257+BE257+BH257</f>
        <v>0</v>
      </c>
      <c r="P257" s="77">
        <f t="shared" si="1160"/>
        <v>0</v>
      </c>
      <c r="Q257" s="77">
        <f t="shared" si="1160"/>
        <v>0</v>
      </c>
      <c r="R257" s="77">
        <f t="shared" ref="R257:T257" si="1161">IF(BK257=0,SUM(AA257+AD257+AG257+AJ257+AM257+AP257+AS257+AV257+AY257+BB257+BE257+BH257),BK257)</f>
        <v>0</v>
      </c>
      <c r="S257" s="77">
        <f t="shared" si="1161"/>
        <v>0</v>
      </c>
      <c r="T257" s="77">
        <f t="shared" si="1161"/>
        <v>0</v>
      </c>
      <c r="U257" s="79">
        <f t="shared" si="1146"/>
        <v>0</v>
      </c>
      <c r="V257" s="79">
        <f t="shared" si="1147"/>
        <v>0</v>
      </c>
      <c r="W257" s="79">
        <f t="shared" si="1148"/>
        <v>0</v>
      </c>
      <c r="X257" s="80">
        <f t="shared" ref="X257:Y257" si="1162">IF(O257&gt;0,O257/K257,0)</f>
        <v>0</v>
      </c>
      <c r="Y257" s="80">
        <f t="shared" si="1162"/>
        <v>0</v>
      </c>
      <c r="Z257" s="80">
        <f t="shared" si="720"/>
        <v>0</v>
      </c>
      <c r="AA257" s="238"/>
      <c r="AB257" s="238"/>
      <c r="AC257" s="238"/>
      <c r="AD257" s="238"/>
      <c r="AE257" s="238"/>
      <c r="AF257" s="238"/>
      <c r="AG257" s="238"/>
      <c r="AH257" s="238"/>
      <c r="AI257" s="238"/>
      <c r="AJ257" s="238"/>
      <c r="AK257" s="238"/>
      <c r="AL257" s="238"/>
      <c r="AM257" s="238"/>
      <c r="AN257" s="238"/>
      <c r="AO257" s="238"/>
      <c r="AP257" s="238"/>
      <c r="AQ257" s="238"/>
      <c r="AR257" s="238"/>
      <c r="AS257" s="238"/>
      <c r="AT257" s="238"/>
      <c r="AU257" s="238"/>
      <c r="AV257" s="238"/>
      <c r="AW257" s="238"/>
      <c r="AX257" s="238"/>
      <c r="AY257" s="238"/>
      <c r="AZ257" s="238"/>
      <c r="BA257" s="238"/>
      <c r="BB257" s="238"/>
      <c r="BC257" s="238"/>
      <c r="BD257" s="238"/>
      <c r="BE257" s="238"/>
      <c r="BF257" s="238"/>
      <c r="BG257" s="238"/>
      <c r="BH257" s="238"/>
      <c r="BI257" s="238"/>
      <c r="BJ257" s="238"/>
      <c r="BK257" s="82">
        <v>0</v>
      </c>
      <c r="BL257" s="82">
        <v>0</v>
      </c>
      <c r="BM257" s="82">
        <v>0</v>
      </c>
      <c r="BN257" s="81">
        <f t="shared" si="1150"/>
        <v>0</v>
      </c>
      <c r="BO257" s="75">
        <f t="shared" si="1151"/>
        <v>0</v>
      </c>
      <c r="BP257" s="81">
        <f t="shared" si="1152"/>
        <v>0</v>
      </c>
      <c r="BQ257" s="81">
        <f t="shared" si="1153"/>
        <v>0</v>
      </c>
      <c r="BR257" s="81">
        <f t="shared" si="1154"/>
        <v>0</v>
      </c>
      <c r="BS257" s="81">
        <f t="shared" si="1155"/>
        <v>0</v>
      </c>
      <c r="BT257" s="81">
        <f t="shared" si="1156"/>
        <v>0</v>
      </c>
      <c r="BU257" s="81">
        <f t="shared" si="1157"/>
        <v>0</v>
      </c>
      <c r="BV257" s="81">
        <f t="shared" si="1158"/>
        <v>0</v>
      </c>
      <c r="BW257" s="81">
        <f t="shared" si="1159"/>
        <v>0</v>
      </c>
      <c r="BX257" s="1"/>
      <c r="BY257" s="1"/>
      <c r="BZ257" s="1"/>
      <c r="CA257" s="1"/>
      <c r="CB257" s="1"/>
      <c r="CC257" s="1"/>
      <c r="CD257" s="1"/>
      <c r="CE257" s="1"/>
      <c r="CF257" s="1"/>
      <c r="CG257" s="1"/>
    </row>
    <row r="258" spans="1:85" ht="15.75" customHeight="1">
      <c r="A258" s="295"/>
      <c r="B258" s="234"/>
      <c r="C258" s="91" t="s">
        <v>520</v>
      </c>
      <c r="D258" s="296" t="s">
        <v>541</v>
      </c>
      <c r="E258" s="70">
        <v>40721.629999999997</v>
      </c>
      <c r="F258" s="93">
        <v>40721.629999999997</v>
      </c>
      <c r="G258" s="71">
        <f t="shared" si="1143"/>
        <v>0</v>
      </c>
      <c r="H258" s="70"/>
      <c r="I258" s="72">
        <f t="shared" si="723"/>
        <v>0</v>
      </c>
      <c r="J258" s="72">
        <f t="shared" si="724"/>
        <v>0</v>
      </c>
      <c r="K258" s="237"/>
      <c r="L258" s="238"/>
      <c r="M258" s="236"/>
      <c r="N258" s="237"/>
      <c r="O258" s="77">
        <f t="shared" ref="O258:Q258" si="1163">AA258+AD258+AG258+AJ258+AM258+AP258+AS258+AV258+AY258+BB258+BE258+BH258</f>
        <v>0</v>
      </c>
      <c r="P258" s="77">
        <f t="shared" si="1163"/>
        <v>0</v>
      </c>
      <c r="Q258" s="77">
        <f t="shared" si="1163"/>
        <v>0</v>
      </c>
      <c r="R258" s="77">
        <f t="shared" ref="R258:T258" si="1164">IF(BK258=0,SUM(AA258+AD258+AG258+AJ258+AM258+AP258+AS258+AV258+AY258+BB258+BE258+BH258),BK258)</f>
        <v>0</v>
      </c>
      <c r="S258" s="77">
        <f t="shared" si="1164"/>
        <v>0</v>
      </c>
      <c r="T258" s="77">
        <f t="shared" si="1164"/>
        <v>0</v>
      </c>
      <c r="U258" s="79">
        <f t="shared" si="1146"/>
        <v>0</v>
      </c>
      <c r="V258" s="79">
        <f t="shared" si="1147"/>
        <v>0</v>
      </c>
      <c r="W258" s="79">
        <f t="shared" si="1148"/>
        <v>0</v>
      </c>
      <c r="X258" s="80">
        <f t="shared" ref="X258:Y258" si="1165">IF(O258&gt;0,O258/K258,0)</f>
        <v>0</v>
      </c>
      <c r="Y258" s="80">
        <f t="shared" si="1165"/>
        <v>0</v>
      </c>
      <c r="Z258" s="80">
        <f t="shared" si="720"/>
        <v>0</v>
      </c>
      <c r="AA258" s="238"/>
      <c r="AB258" s="238"/>
      <c r="AC258" s="238"/>
      <c r="AD258" s="238"/>
      <c r="AE258" s="238"/>
      <c r="AF258" s="238"/>
      <c r="AG258" s="238"/>
      <c r="AH258" s="238"/>
      <c r="AI258" s="238"/>
      <c r="AJ258" s="238"/>
      <c r="AK258" s="238"/>
      <c r="AL258" s="238"/>
      <c r="AM258" s="238"/>
      <c r="AN258" s="238"/>
      <c r="AO258" s="238"/>
      <c r="AP258" s="238"/>
      <c r="AQ258" s="238"/>
      <c r="AR258" s="238"/>
      <c r="AS258" s="238"/>
      <c r="AT258" s="238"/>
      <c r="AU258" s="238"/>
      <c r="AV258" s="238"/>
      <c r="AW258" s="238"/>
      <c r="AX258" s="238"/>
      <c r="AY258" s="238"/>
      <c r="AZ258" s="238"/>
      <c r="BA258" s="238"/>
      <c r="BB258" s="238"/>
      <c r="BC258" s="238"/>
      <c r="BD258" s="238"/>
      <c r="BE258" s="238"/>
      <c r="BF258" s="238"/>
      <c r="BG258" s="238"/>
      <c r="BH258" s="238"/>
      <c r="BI258" s="238"/>
      <c r="BJ258" s="238"/>
      <c r="BK258" s="82">
        <v>0</v>
      </c>
      <c r="BL258" s="82">
        <v>0</v>
      </c>
      <c r="BM258" s="82">
        <v>0</v>
      </c>
      <c r="BN258" s="81">
        <f t="shared" si="1150"/>
        <v>0</v>
      </c>
      <c r="BO258" s="75">
        <f t="shared" si="1151"/>
        <v>0</v>
      </c>
      <c r="BP258" s="81">
        <f t="shared" si="1152"/>
        <v>0</v>
      </c>
      <c r="BQ258" s="81">
        <f t="shared" si="1153"/>
        <v>0</v>
      </c>
      <c r="BR258" s="81">
        <f t="shared" si="1154"/>
        <v>0</v>
      </c>
      <c r="BS258" s="81">
        <f t="shared" si="1155"/>
        <v>0</v>
      </c>
      <c r="BT258" s="81">
        <f t="shared" si="1156"/>
        <v>0</v>
      </c>
      <c r="BU258" s="81">
        <f t="shared" si="1157"/>
        <v>0</v>
      </c>
      <c r="BV258" s="81">
        <f t="shared" si="1158"/>
        <v>0</v>
      </c>
      <c r="BW258" s="81">
        <f t="shared" si="1159"/>
        <v>0</v>
      </c>
      <c r="BX258" s="1"/>
      <c r="BY258" s="1"/>
      <c r="BZ258" s="1"/>
      <c r="CA258" s="1"/>
      <c r="CB258" s="1"/>
      <c r="CC258" s="1"/>
      <c r="CD258" s="1"/>
      <c r="CE258" s="1"/>
      <c r="CF258" s="1"/>
      <c r="CG258" s="1"/>
    </row>
    <row r="259" spans="1:85" ht="15.75" customHeight="1">
      <c r="A259" s="100"/>
      <c r="B259" s="101"/>
      <c r="C259" s="102"/>
      <c r="D259" s="195" t="s">
        <v>376</v>
      </c>
      <c r="E259" s="104">
        <f t="shared" ref="E259:H259" si="1166">E260+E263+E266+E268</f>
        <v>0</v>
      </c>
      <c r="F259" s="104">
        <f t="shared" si="1166"/>
        <v>0</v>
      </c>
      <c r="G259" s="104">
        <f t="shared" si="1166"/>
        <v>0</v>
      </c>
      <c r="H259" s="104">
        <f t="shared" si="1166"/>
        <v>350000</v>
      </c>
      <c r="I259" s="105">
        <f t="shared" si="723"/>
        <v>0</v>
      </c>
      <c r="J259" s="105">
        <f t="shared" si="724"/>
        <v>0</v>
      </c>
      <c r="K259" s="104">
        <f t="shared" ref="K259:W259" si="1167">K260+K263+K266+K268</f>
        <v>0</v>
      </c>
      <c r="L259" s="104">
        <f t="shared" si="1167"/>
        <v>141320</v>
      </c>
      <c r="M259" s="104">
        <f t="shared" si="1167"/>
        <v>648.74</v>
      </c>
      <c r="N259" s="104">
        <f t="shared" si="1167"/>
        <v>112698.02</v>
      </c>
      <c r="O259" s="104">
        <f t="shared" si="1167"/>
        <v>0</v>
      </c>
      <c r="P259" s="104">
        <f t="shared" si="1167"/>
        <v>140671.26</v>
      </c>
      <c r="Q259" s="104">
        <f t="shared" si="1167"/>
        <v>73683.02</v>
      </c>
      <c r="R259" s="104">
        <f t="shared" si="1167"/>
        <v>0</v>
      </c>
      <c r="S259" s="104">
        <f t="shared" si="1167"/>
        <v>140671.26</v>
      </c>
      <c r="T259" s="104">
        <f t="shared" si="1167"/>
        <v>73683.02</v>
      </c>
      <c r="U259" s="104">
        <f t="shared" si="1167"/>
        <v>0</v>
      </c>
      <c r="V259" s="104">
        <f t="shared" si="1167"/>
        <v>0</v>
      </c>
      <c r="W259" s="104">
        <f t="shared" si="1167"/>
        <v>39015</v>
      </c>
      <c r="X259" s="106">
        <f t="shared" ref="X259:Y259" si="1168">IF(O259&gt;0,O259/K259,0)</f>
        <v>0</v>
      </c>
      <c r="Y259" s="106">
        <f t="shared" si="1168"/>
        <v>0.99540942541749233</v>
      </c>
      <c r="Z259" s="106">
        <f t="shared" si="720"/>
        <v>0.65380935707654853</v>
      </c>
      <c r="AA259" s="104">
        <f t="shared" ref="AA259:BW259" si="1169">AA260+AA263+AA266+AA268</f>
        <v>0</v>
      </c>
      <c r="AB259" s="104">
        <f t="shared" si="1169"/>
        <v>0</v>
      </c>
      <c r="AC259" s="104">
        <f t="shared" si="1169"/>
        <v>0</v>
      </c>
      <c r="AD259" s="104">
        <f t="shared" si="1169"/>
        <v>0</v>
      </c>
      <c r="AE259" s="104">
        <f t="shared" si="1169"/>
        <v>0</v>
      </c>
      <c r="AF259" s="104">
        <f t="shared" si="1169"/>
        <v>0</v>
      </c>
      <c r="AG259" s="104">
        <f t="shared" si="1169"/>
        <v>0</v>
      </c>
      <c r="AH259" s="104">
        <f t="shared" si="1169"/>
        <v>140671.26</v>
      </c>
      <c r="AI259" s="104">
        <f t="shared" si="1169"/>
        <v>0</v>
      </c>
      <c r="AJ259" s="104">
        <f t="shared" si="1169"/>
        <v>0</v>
      </c>
      <c r="AK259" s="104">
        <f t="shared" si="1169"/>
        <v>0</v>
      </c>
      <c r="AL259" s="104">
        <f t="shared" si="1169"/>
        <v>0</v>
      </c>
      <c r="AM259" s="104">
        <f t="shared" si="1169"/>
        <v>0</v>
      </c>
      <c r="AN259" s="104">
        <f t="shared" si="1169"/>
        <v>0</v>
      </c>
      <c r="AO259" s="104">
        <f t="shared" si="1169"/>
        <v>0</v>
      </c>
      <c r="AP259" s="104">
        <f t="shared" si="1169"/>
        <v>0</v>
      </c>
      <c r="AQ259" s="104">
        <f t="shared" si="1169"/>
        <v>0</v>
      </c>
      <c r="AR259" s="104">
        <f t="shared" si="1169"/>
        <v>0</v>
      </c>
      <c r="AS259" s="104">
        <f t="shared" si="1169"/>
        <v>0</v>
      </c>
      <c r="AT259" s="104">
        <f t="shared" si="1169"/>
        <v>0</v>
      </c>
      <c r="AU259" s="104">
        <f t="shared" si="1169"/>
        <v>44500</v>
      </c>
      <c r="AV259" s="104">
        <f t="shared" si="1169"/>
        <v>0</v>
      </c>
      <c r="AW259" s="104">
        <f t="shared" si="1169"/>
        <v>0</v>
      </c>
      <c r="AX259" s="104">
        <f t="shared" si="1169"/>
        <v>11932</v>
      </c>
      <c r="AY259" s="104">
        <f t="shared" si="1169"/>
        <v>0</v>
      </c>
      <c r="AZ259" s="104">
        <f t="shared" si="1169"/>
        <v>0</v>
      </c>
      <c r="BA259" s="104">
        <f t="shared" si="1169"/>
        <v>0</v>
      </c>
      <c r="BB259" s="104">
        <f t="shared" si="1169"/>
        <v>0</v>
      </c>
      <c r="BC259" s="104">
        <f t="shared" si="1169"/>
        <v>0</v>
      </c>
      <c r="BD259" s="104">
        <f t="shared" si="1169"/>
        <v>4751.0200000000004</v>
      </c>
      <c r="BE259" s="104">
        <f t="shared" si="1169"/>
        <v>0</v>
      </c>
      <c r="BF259" s="104">
        <f t="shared" si="1169"/>
        <v>0</v>
      </c>
      <c r="BG259" s="104">
        <f t="shared" si="1169"/>
        <v>5000</v>
      </c>
      <c r="BH259" s="104">
        <f t="shared" si="1169"/>
        <v>0</v>
      </c>
      <c r="BI259" s="104">
        <f t="shared" si="1169"/>
        <v>0</v>
      </c>
      <c r="BJ259" s="104">
        <f t="shared" si="1169"/>
        <v>7500</v>
      </c>
      <c r="BK259" s="104">
        <f t="shared" si="1169"/>
        <v>0</v>
      </c>
      <c r="BL259" s="104">
        <f t="shared" si="1169"/>
        <v>140671.26</v>
      </c>
      <c r="BM259" s="104">
        <f t="shared" si="1169"/>
        <v>73683.02</v>
      </c>
      <c r="BN259" s="104">
        <f t="shared" si="1169"/>
        <v>0</v>
      </c>
      <c r="BO259" s="104">
        <f t="shared" si="1169"/>
        <v>0</v>
      </c>
      <c r="BP259" s="104">
        <f t="shared" si="1169"/>
        <v>0</v>
      </c>
      <c r="BQ259" s="104">
        <f t="shared" si="1169"/>
        <v>0</v>
      </c>
      <c r="BR259" s="104">
        <f t="shared" si="1169"/>
        <v>39015</v>
      </c>
      <c r="BS259" s="104">
        <f t="shared" si="1169"/>
        <v>39015</v>
      </c>
      <c r="BT259" s="104">
        <f t="shared" si="1169"/>
        <v>0</v>
      </c>
      <c r="BU259" s="104">
        <f t="shared" si="1169"/>
        <v>0</v>
      </c>
      <c r="BV259" s="104">
        <f t="shared" si="1169"/>
        <v>39015</v>
      </c>
      <c r="BW259" s="104">
        <f t="shared" si="1169"/>
        <v>39015</v>
      </c>
      <c r="BX259" s="1"/>
      <c r="BY259" s="1"/>
      <c r="BZ259" s="1"/>
      <c r="CA259" s="1"/>
      <c r="CB259" s="1"/>
      <c r="CC259" s="1"/>
      <c r="CD259" s="1"/>
      <c r="CE259" s="1"/>
      <c r="CF259" s="1"/>
      <c r="CG259" s="1"/>
    </row>
    <row r="260" spans="1:85" ht="15.75">
      <c r="A260" s="270"/>
      <c r="B260" s="271"/>
      <c r="C260" s="272"/>
      <c r="D260" s="112" t="s">
        <v>365</v>
      </c>
      <c r="E260" s="286">
        <f t="shared" ref="E260:H260" si="1170">SUM(E261:E262)</f>
        <v>0</v>
      </c>
      <c r="F260" s="286">
        <f t="shared" si="1170"/>
        <v>0</v>
      </c>
      <c r="G260" s="286">
        <f t="shared" si="1170"/>
        <v>0</v>
      </c>
      <c r="H260" s="286">
        <f t="shared" si="1170"/>
        <v>350000</v>
      </c>
      <c r="I260" s="287">
        <f t="shared" si="723"/>
        <v>0</v>
      </c>
      <c r="J260" s="287">
        <f t="shared" si="724"/>
        <v>0</v>
      </c>
      <c r="K260" s="286">
        <f t="shared" ref="K260:W260" si="1171">SUM(K261:K262)</f>
        <v>0</v>
      </c>
      <c r="L260" s="286">
        <f t="shared" si="1171"/>
        <v>0</v>
      </c>
      <c r="M260" s="286">
        <f t="shared" si="1171"/>
        <v>0</v>
      </c>
      <c r="N260" s="286">
        <f t="shared" si="1171"/>
        <v>0</v>
      </c>
      <c r="O260" s="286">
        <f t="shared" si="1171"/>
        <v>0</v>
      </c>
      <c r="P260" s="286">
        <f t="shared" si="1171"/>
        <v>0</v>
      </c>
      <c r="Q260" s="286">
        <f t="shared" si="1171"/>
        <v>0</v>
      </c>
      <c r="R260" s="286">
        <f t="shared" si="1171"/>
        <v>0</v>
      </c>
      <c r="S260" s="286">
        <f t="shared" si="1171"/>
        <v>0</v>
      </c>
      <c r="T260" s="286">
        <f t="shared" si="1171"/>
        <v>0</v>
      </c>
      <c r="U260" s="286">
        <f t="shared" si="1171"/>
        <v>0</v>
      </c>
      <c r="V260" s="286">
        <f t="shared" si="1171"/>
        <v>0</v>
      </c>
      <c r="W260" s="286">
        <f t="shared" si="1171"/>
        <v>0</v>
      </c>
      <c r="X260" s="288">
        <f t="shared" ref="X260:Y260" si="1172">IF(O260&gt;0,O260/K260,0)</f>
        <v>0</v>
      </c>
      <c r="Y260" s="288">
        <f t="shared" si="1172"/>
        <v>0</v>
      </c>
      <c r="Z260" s="288">
        <f t="shared" si="720"/>
        <v>0</v>
      </c>
      <c r="AA260" s="286">
        <f t="shared" ref="AA260:BW260" si="1173">SUM(AA261:AA262)</f>
        <v>0</v>
      </c>
      <c r="AB260" s="286">
        <f t="shared" si="1173"/>
        <v>0</v>
      </c>
      <c r="AC260" s="286">
        <f t="shared" si="1173"/>
        <v>0</v>
      </c>
      <c r="AD260" s="286">
        <f t="shared" si="1173"/>
        <v>0</v>
      </c>
      <c r="AE260" s="286">
        <f t="shared" si="1173"/>
        <v>0</v>
      </c>
      <c r="AF260" s="286">
        <f t="shared" si="1173"/>
        <v>0</v>
      </c>
      <c r="AG260" s="286">
        <f t="shared" si="1173"/>
        <v>0</v>
      </c>
      <c r="AH260" s="286">
        <f t="shared" si="1173"/>
        <v>0</v>
      </c>
      <c r="AI260" s="286">
        <f t="shared" si="1173"/>
        <v>0</v>
      </c>
      <c r="AJ260" s="286">
        <f t="shared" si="1173"/>
        <v>0</v>
      </c>
      <c r="AK260" s="286">
        <f t="shared" si="1173"/>
        <v>0</v>
      </c>
      <c r="AL260" s="286">
        <f t="shared" si="1173"/>
        <v>0</v>
      </c>
      <c r="AM260" s="286">
        <f t="shared" si="1173"/>
        <v>0</v>
      </c>
      <c r="AN260" s="286">
        <f t="shared" si="1173"/>
        <v>0</v>
      </c>
      <c r="AO260" s="286">
        <f t="shared" si="1173"/>
        <v>0</v>
      </c>
      <c r="AP260" s="286">
        <f t="shared" si="1173"/>
        <v>0</v>
      </c>
      <c r="AQ260" s="286">
        <f t="shared" si="1173"/>
        <v>0</v>
      </c>
      <c r="AR260" s="286">
        <f t="shared" si="1173"/>
        <v>0</v>
      </c>
      <c r="AS260" s="286">
        <f t="shared" si="1173"/>
        <v>0</v>
      </c>
      <c r="AT260" s="286">
        <f t="shared" si="1173"/>
        <v>0</v>
      </c>
      <c r="AU260" s="286">
        <f t="shared" si="1173"/>
        <v>0</v>
      </c>
      <c r="AV260" s="286">
        <f t="shared" si="1173"/>
        <v>0</v>
      </c>
      <c r="AW260" s="286">
        <f t="shared" si="1173"/>
        <v>0</v>
      </c>
      <c r="AX260" s="286">
        <f t="shared" si="1173"/>
        <v>0</v>
      </c>
      <c r="AY260" s="286">
        <f t="shared" si="1173"/>
        <v>0</v>
      </c>
      <c r="AZ260" s="286">
        <f t="shared" si="1173"/>
        <v>0</v>
      </c>
      <c r="BA260" s="286">
        <f t="shared" si="1173"/>
        <v>0</v>
      </c>
      <c r="BB260" s="286">
        <f t="shared" si="1173"/>
        <v>0</v>
      </c>
      <c r="BC260" s="286">
        <f t="shared" si="1173"/>
        <v>0</v>
      </c>
      <c r="BD260" s="286">
        <f t="shared" si="1173"/>
        <v>0</v>
      </c>
      <c r="BE260" s="286">
        <f t="shared" si="1173"/>
        <v>0</v>
      </c>
      <c r="BF260" s="286">
        <f t="shared" si="1173"/>
        <v>0</v>
      </c>
      <c r="BG260" s="286">
        <f t="shared" si="1173"/>
        <v>0</v>
      </c>
      <c r="BH260" s="286">
        <f t="shared" si="1173"/>
        <v>0</v>
      </c>
      <c r="BI260" s="286">
        <f t="shared" si="1173"/>
        <v>0</v>
      </c>
      <c r="BJ260" s="286">
        <f t="shared" si="1173"/>
        <v>0</v>
      </c>
      <c r="BK260" s="286">
        <f t="shared" si="1173"/>
        <v>0</v>
      </c>
      <c r="BL260" s="286">
        <f t="shared" si="1173"/>
        <v>0</v>
      </c>
      <c r="BM260" s="286">
        <f t="shared" si="1173"/>
        <v>0</v>
      </c>
      <c r="BN260" s="286">
        <f t="shared" si="1173"/>
        <v>0</v>
      </c>
      <c r="BO260" s="286">
        <f t="shared" si="1173"/>
        <v>0</v>
      </c>
      <c r="BP260" s="286">
        <f t="shared" si="1173"/>
        <v>0</v>
      </c>
      <c r="BQ260" s="286">
        <f t="shared" si="1173"/>
        <v>0</v>
      </c>
      <c r="BR260" s="286">
        <f t="shared" si="1173"/>
        <v>0</v>
      </c>
      <c r="BS260" s="286">
        <f t="shared" si="1173"/>
        <v>0</v>
      </c>
      <c r="BT260" s="286">
        <f t="shared" si="1173"/>
        <v>0</v>
      </c>
      <c r="BU260" s="286">
        <f t="shared" si="1173"/>
        <v>0</v>
      </c>
      <c r="BV260" s="286">
        <f t="shared" si="1173"/>
        <v>0</v>
      </c>
      <c r="BW260" s="286">
        <f t="shared" si="1173"/>
        <v>0</v>
      </c>
      <c r="BX260" s="1"/>
      <c r="BY260" s="1"/>
      <c r="BZ260" s="1"/>
      <c r="CA260" s="1"/>
      <c r="CB260" s="1"/>
      <c r="CC260" s="1"/>
      <c r="CD260" s="1"/>
      <c r="CE260" s="1"/>
      <c r="CF260" s="1"/>
      <c r="CG260" s="1"/>
    </row>
    <row r="261" spans="1:85" ht="15.75" customHeight="1">
      <c r="A261" s="297"/>
      <c r="B261" s="294"/>
      <c r="C261" s="86" t="s">
        <v>430</v>
      </c>
      <c r="D261" s="240" t="s">
        <v>542</v>
      </c>
      <c r="E261" s="70"/>
      <c r="F261" s="71"/>
      <c r="G261" s="71">
        <f t="shared" ref="G261:G262" si="1174">E261-F261</f>
        <v>0</v>
      </c>
      <c r="H261" s="196">
        <v>100000</v>
      </c>
      <c r="I261" s="72">
        <f t="shared" si="723"/>
        <v>0</v>
      </c>
      <c r="J261" s="72">
        <f t="shared" si="724"/>
        <v>0</v>
      </c>
      <c r="K261" s="237"/>
      <c r="L261" s="236"/>
      <c r="M261" s="236"/>
      <c r="N261" s="237"/>
      <c r="O261" s="77">
        <f t="shared" ref="O261:Q261" si="1175">AA261+AD261+AG261+AJ261+AM261+AP261+AS261+AV261+AY261+BB261+BE261+BH261</f>
        <v>0</v>
      </c>
      <c r="P261" s="77">
        <f t="shared" si="1175"/>
        <v>0</v>
      </c>
      <c r="Q261" s="77">
        <f t="shared" si="1175"/>
        <v>0</v>
      </c>
      <c r="R261" s="77">
        <f t="shared" ref="R261:T261" si="1176">IF(BK261=0,SUM(AA261+AD261+AG261+AJ261+AM261+AP261+AS261+AV261+AY261+BB261+BE261+BH261),BK261)</f>
        <v>0</v>
      </c>
      <c r="S261" s="77">
        <f t="shared" si="1176"/>
        <v>0</v>
      </c>
      <c r="T261" s="77">
        <f t="shared" si="1176"/>
        <v>0</v>
      </c>
      <c r="U261" s="79">
        <f t="shared" ref="U261:U262" si="1177">K261-O261</f>
        <v>0</v>
      </c>
      <c r="V261" s="79">
        <f t="shared" ref="V261:V262" si="1178">L261-M261-S261</f>
        <v>0</v>
      </c>
      <c r="W261" s="79">
        <f t="shared" ref="W261:W262" si="1179">N261-Q261</f>
        <v>0</v>
      </c>
      <c r="X261" s="80">
        <f t="shared" ref="X261:Y261" si="1180">IF(O261&gt;0,O261/K261,0)</f>
        <v>0</v>
      </c>
      <c r="Y261" s="80">
        <f t="shared" si="1180"/>
        <v>0</v>
      </c>
      <c r="Z261" s="80">
        <f t="shared" si="720"/>
        <v>0</v>
      </c>
      <c r="AA261" s="238"/>
      <c r="AB261" s="238"/>
      <c r="AC261" s="238"/>
      <c r="AD261" s="238"/>
      <c r="AE261" s="238"/>
      <c r="AF261" s="238"/>
      <c r="AG261" s="238"/>
      <c r="AH261" s="238"/>
      <c r="AI261" s="238"/>
      <c r="AJ261" s="238"/>
      <c r="AK261" s="238"/>
      <c r="AL261" s="238"/>
      <c r="AM261" s="238"/>
      <c r="AN261" s="238"/>
      <c r="AO261" s="238"/>
      <c r="AP261" s="238"/>
      <c r="AQ261" s="238"/>
      <c r="AR261" s="238"/>
      <c r="AS261" s="238"/>
      <c r="AT261" s="238"/>
      <c r="AU261" s="238"/>
      <c r="AV261" s="238"/>
      <c r="AW261" s="238"/>
      <c r="AX261" s="238"/>
      <c r="AY261" s="238"/>
      <c r="AZ261" s="238"/>
      <c r="BA261" s="238"/>
      <c r="BB261" s="238"/>
      <c r="BC261" s="238"/>
      <c r="BD261" s="238"/>
      <c r="BE261" s="238"/>
      <c r="BF261" s="238"/>
      <c r="BG261" s="238"/>
      <c r="BH261" s="238"/>
      <c r="BI261" s="238"/>
      <c r="BJ261" s="238"/>
      <c r="BK261" s="82">
        <v>0</v>
      </c>
      <c r="BL261" s="82">
        <v>0</v>
      </c>
      <c r="BM261" s="82">
        <v>0</v>
      </c>
      <c r="BN261" s="81">
        <f t="shared" ref="BN261:BN262" si="1181">IF(O261-BK261&gt;0,O261-BK261,0)</f>
        <v>0</v>
      </c>
      <c r="BO261" s="75">
        <f t="shared" ref="BO261:BO262" si="1182">IF(Q261-BM261&gt;0,Q261-BM261,0)</f>
        <v>0</v>
      </c>
      <c r="BP261" s="81">
        <f t="shared" ref="BP261:BP262" si="1183">IF(BN261+BO261&gt;0,BN261+BO261,0)</f>
        <v>0</v>
      </c>
      <c r="BQ261" s="81">
        <f t="shared" ref="BQ261:BQ262" si="1184">IF(U261=0,0,U261)</f>
        <v>0</v>
      </c>
      <c r="BR261" s="81">
        <f t="shared" ref="BR261:BR262" si="1185">IF(W261=0,0,W261)</f>
        <v>0</v>
      </c>
      <c r="BS261" s="81">
        <f t="shared" ref="BS261:BS262" si="1186">IF(BQ261+BR261&gt;0,BQ261+BR261,0)</f>
        <v>0</v>
      </c>
      <c r="BT261" s="81">
        <f t="shared" ref="BT261:BT262" si="1187">IF(V261&gt;0,V261,0)</f>
        <v>0</v>
      </c>
      <c r="BU261" s="81">
        <f t="shared" ref="BU261:BU262" si="1188">IF(BP261=0,0,BP261)</f>
        <v>0</v>
      </c>
      <c r="BV261" s="81">
        <f t="shared" ref="BV261:BV262" si="1189">IF(BS261=0,0,BS261)</f>
        <v>0</v>
      </c>
      <c r="BW261" s="81">
        <f t="shared" ref="BW261:BW262" si="1190">IF(BP261+BT261+BV261&gt;0,BP261+BT261+BV261,0)</f>
        <v>0</v>
      </c>
      <c r="BX261" s="1"/>
      <c r="BY261" s="1"/>
      <c r="BZ261" s="1"/>
      <c r="CA261" s="1"/>
      <c r="CB261" s="1"/>
      <c r="CC261" s="1"/>
      <c r="CD261" s="1"/>
      <c r="CE261" s="1"/>
      <c r="CF261" s="1"/>
      <c r="CG261" s="1"/>
    </row>
    <row r="262" spans="1:85" ht="15.75" customHeight="1">
      <c r="A262" s="298"/>
      <c r="B262" s="294"/>
      <c r="C262" s="86" t="s">
        <v>430</v>
      </c>
      <c r="D262" s="240" t="s">
        <v>543</v>
      </c>
      <c r="E262" s="70"/>
      <c r="F262" s="71"/>
      <c r="G262" s="71">
        <f t="shared" si="1174"/>
        <v>0</v>
      </c>
      <c r="H262" s="196">
        <v>250000</v>
      </c>
      <c r="I262" s="72">
        <f t="shared" si="723"/>
        <v>0</v>
      </c>
      <c r="J262" s="72">
        <f t="shared" si="724"/>
        <v>0</v>
      </c>
      <c r="K262" s="237"/>
      <c r="L262" s="236"/>
      <c r="M262" s="236"/>
      <c r="N262" s="237"/>
      <c r="O262" s="77">
        <f t="shared" ref="O262:Q262" si="1191">AA262+AD262+AG262+AJ262+AM262+AP262+AS262+AV262+AY262+BB262+BE262+BH262</f>
        <v>0</v>
      </c>
      <c r="P262" s="77">
        <f t="shared" si="1191"/>
        <v>0</v>
      </c>
      <c r="Q262" s="77">
        <f t="shared" si="1191"/>
        <v>0</v>
      </c>
      <c r="R262" s="77">
        <f t="shared" ref="R262:T262" si="1192">IF(BK262=0,SUM(AA262+AD262+AG262+AJ262+AM262+AP262+AS262+AV262+AY262+BB262+BE262+BH262),BK262)</f>
        <v>0</v>
      </c>
      <c r="S262" s="77">
        <f t="shared" si="1192"/>
        <v>0</v>
      </c>
      <c r="T262" s="77">
        <f t="shared" si="1192"/>
        <v>0</v>
      </c>
      <c r="U262" s="79">
        <f t="shared" si="1177"/>
        <v>0</v>
      </c>
      <c r="V262" s="79">
        <f t="shared" si="1178"/>
        <v>0</v>
      </c>
      <c r="W262" s="79">
        <f t="shared" si="1179"/>
        <v>0</v>
      </c>
      <c r="X262" s="80">
        <f t="shared" ref="X262:Y262" si="1193">IF(O262&gt;0,O262/K262,0)</f>
        <v>0</v>
      </c>
      <c r="Y262" s="80">
        <f t="shared" si="1193"/>
        <v>0</v>
      </c>
      <c r="Z262" s="80">
        <f t="shared" si="720"/>
        <v>0</v>
      </c>
      <c r="AA262" s="238"/>
      <c r="AB262" s="238"/>
      <c r="AC262" s="238"/>
      <c r="AD262" s="238"/>
      <c r="AE262" s="238"/>
      <c r="AF262" s="238"/>
      <c r="AG262" s="238"/>
      <c r="AH262" s="238"/>
      <c r="AI262" s="238"/>
      <c r="AJ262" s="238"/>
      <c r="AK262" s="238"/>
      <c r="AL262" s="238"/>
      <c r="AM262" s="238"/>
      <c r="AN262" s="238"/>
      <c r="AO262" s="238"/>
      <c r="AP262" s="238"/>
      <c r="AQ262" s="238"/>
      <c r="AR262" s="238"/>
      <c r="AS262" s="238"/>
      <c r="AT262" s="238"/>
      <c r="AU262" s="238"/>
      <c r="AV262" s="238"/>
      <c r="AW262" s="238"/>
      <c r="AX262" s="238"/>
      <c r="AY262" s="238"/>
      <c r="AZ262" s="238"/>
      <c r="BA262" s="238"/>
      <c r="BB262" s="238"/>
      <c r="BC262" s="238"/>
      <c r="BD262" s="238"/>
      <c r="BE262" s="238"/>
      <c r="BF262" s="238"/>
      <c r="BG262" s="238"/>
      <c r="BH262" s="238"/>
      <c r="BI262" s="238"/>
      <c r="BJ262" s="238"/>
      <c r="BK262" s="82">
        <v>0</v>
      </c>
      <c r="BL262" s="82">
        <v>0</v>
      </c>
      <c r="BM262" s="82">
        <v>0</v>
      </c>
      <c r="BN262" s="81">
        <f t="shared" si="1181"/>
        <v>0</v>
      </c>
      <c r="BO262" s="75">
        <f t="shared" si="1182"/>
        <v>0</v>
      </c>
      <c r="BP262" s="81">
        <f t="shared" si="1183"/>
        <v>0</v>
      </c>
      <c r="BQ262" s="81">
        <f t="shared" si="1184"/>
        <v>0</v>
      </c>
      <c r="BR262" s="81">
        <f t="shared" si="1185"/>
        <v>0</v>
      </c>
      <c r="BS262" s="81">
        <f t="shared" si="1186"/>
        <v>0</v>
      </c>
      <c r="BT262" s="81">
        <f t="shared" si="1187"/>
        <v>0</v>
      </c>
      <c r="BU262" s="81">
        <f t="shared" si="1188"/>
        <v>0</v>
      </c>
      <c r="BV262" s="81">
        <f t="shared" si="1189"/>
        <v>0</v>
      </c>
      <c r="BW262" s="81">
        <f t="shared" si="1190"/>
        <v>0</v>
      </c>
      <c r="BX262" s="1"/>
      <c r="BY262" s="1"/>
      <c r="BZ262" s="1"/>
      <c r="CA262" s="1"/>
      <c r="CB262" s="1"/>
      <c r="CC262" s="1"/>
      <c r="CD262" s="1"/>
      <c r="CE262" s="1"/>
      <c r="CF262" s="1"/>
      <c r="CG262" s="1"/>
    </row>
    <row r="263" spans="1:85" ht="15.75">
      <c r="A263" s="109"/>
      <c r="B263" s="110"/>
      <c r="C263" s="111"/>
      <c r="D263" s="112" t="s">
        <v>544</v>
      </c>
      <c r="E263" s="58">
        <f t="shared" ref="E263:H263" si="1194">SUM(E264:E265)</f>
        <v>0</v>
      </c>
      <c r="F263" s="58">
        <f t="shared" si="1194"/>
        <v>0</v>
      </c>
      <c r="G263" s="58">
        <f t="shared" si="1194"/>
        <v>0</v>
      </c>
      <c r="H263" s="58">
        <f t="shared" si="1194"/>
        <v>0</v>
      </c>
      <c r="I263" s="60">
        <f t="shared" si="723"/>
        <v>0</v>
      </c>
      <c r="J263" s="60">
        <f t="shared" si="724"/>
        <v>0</v>
      </c>
      <c r="K263" s="58">
        <f t="shared" ref="K263:W263" si="1195">SUM(K264:K265)</f>
        <v>0</v>
      </c>
      <c r="L263" s="58">
        <f t="shared" si="1195"/>
        <v>0</v>
      </c>
      <c r="M263" s="58">
        <f t="shared" si="1195"/>
        <v>0</v>
      </c>
      <c r="N263" s="58">
        <f t="shared" si="1195"/>
        <v>27555</v>
      </c>
      <c r="O263" s="58">
        <f t="shared" si="1195"/>
        <v>0</v>
      </c>
      <c r="P263" s="58">
        <f t="shared" si="1195"/>
        <v>0</v>
      </c>
      <c r="Q263" s="58">
        <f t="shared" si="1195"/>
        <v>0</v>
      </c>
      <c r="R263" s="58">
        <f t="shared" si="1195"/>
        <v>0</v>
      </c>
      <c r="S263" s="58">
        <f t="shared" si="1195"/>
        <v>0</v>
      </c>
      <c r="T263" s="58">
        <f t="shared" si="1195"/>
        <v>0</v>
      </c>
      <c r="U263" s="58">
        <f t="shared" si="1195"/>
        <v>0</v>
      </c>
      <c r="V263" s="58">
        <f t="shared" si="1195"/>
        <v>0</v>
      </c>
      <c r="W263" s="58">
        <f t="shared" si="1195"/>
        <v>27555</v>
      </c>
      <c r="X263" s="63">
        <f t="shared" ref="X263:Y263" si="1196">IF(O263&gt;0,O263/K263,0)</f>
        <v>0</v>
      </c>
      <c r="Y263" s="63">
        <f t="shared" si="1196"/>
        <v>0</v>
      </c>
      <c r="Z263" s="63">
        <f t="shared" si="720"/>
        <v>0</v>
      </c>
      <c r="AA263" s="58">
        <f t="shared" ref="AA263:BW263" si="1197">SUM(AA264:AA265)</f>
        <v>0</v>
      </c>
      <c r="AB263" s="58">
        <f t="shared" si="1197"/>
        <v>0</v>
      </c>
      <c r="AC263" s="58">
        <f t="shared" si="1197"/>
        <v>0</v>
      </c>
      <c r="AD263" s="58">
        <f t="shared" si="1197"/>
        <v>0</v>
      </c>
      <c r="AE263" s="58">
        <f t="shared" si="1197"/>
        <v>0</v>
      </c>
      <c r="AF263" s="58">
        <f t="shared" si="1197"/>
        <v>0</v>
      </c>
      <c r="AG263" s="58">
        <f t="shared" si="1197"/>
        <v>0</v>
      </c>
      <c r="AH263" s="58">
        <f t="shared" si="1197"/>
        <v>0</v>
      </c>
      <c r="AI263" s="58">
        <f t="shared" si="1197"/>
        <v>0</v>
      </c>
      <c r="AJ263" s="58">
        <f t="shared" si="1197"/>
        <v>0</v>
      </c>
      <c r="AK263" s="58">
        <f t="shared" si="1197"/>
        <v>0</v>
      </c>
      <c r="AL263" s="58">
        <f t="shared" si="1197"/>
        <v>0</v>
      </c>
      <c r="AM263" s="58">
        <f t="shared" si="1197"/>
        <v>0</v>
      </c>
      <c r="AN263" s="58">
        <f t="shared" si="1197"/>
        <v>0</v>
      </c>
      <c r="AO263" s="58">
        <f t="shared" si="1197"/>
        <v>0</v>
      </c>
      <c r="AP263" s="58">
        <f t="shared" si="1197"/>
        <v>0</v>
      </c>
      <c r="AQ263" s="58">
        <f t="shared" si="1197"/>
        <v>0</v>
      </c>
      <c r="AR263" s="58">
        <f t="shared" si="1197"/>
        <v>0</v>
      </c>
      <c r="AS263" s="58">
        <f t="shared" si="1197"/>
        <v>0</v>
      </c>
      <c r="AT263" s="58">
        <f t="shared" si="1197"/>
        <v>0</v>
      </c>
      <c r="AU263" s="58">
        <f t="shared" si="1197"/>
        <v>0</v>
      </c>
      <c r="AV263" s="58">
        <f t="shared" si="1197"/>
        <v>0</v>
      </c>
      <c r="AW263" s="58">
        <f t="shared" si="1197"/>
        <v>0</v>
      </c>
      <c r="AX263" s="58">
        <f t="shared" si="1197"/>
        <v>0</v>
      </c>
      <c r="AY263" s="58">
        <f t="shared" si="1197"/>
        <v>0</v>
      </c>
      <c r="AZ263" s="58">
        <f t="shared" si="1197"/>
        <v>0</v>
      </c>
      <c r="BA263" s="58">
        <f t="shared" si="1197"/>
        <v>0</v>
      </c>
      <c r="BB263" s="58">
        <f t="shared" si="1197"/>
        <v>0</v>
      </c>
      <c r="BC263" s="58">
        <f t="shared" si="1197"/>
        <v>0</v>
      </c>
      <c r="BD263" s="58">
        <f t="shared" si="1197"/>
        <v>0</v>
      </c>
      <c r="BE263" s="58">
        <f t="shared" si="1197"/>
        <v>0</v>
      </c>
      <c r="BF263" s="58">
        <f t="shared" si="1197"/>
        <v>0</v>
      </c>
      <c r="BG263" s="58">
        <f t="shared" si="1197"/>
        <v>0</v>
      </c>
      <c r="BH263" s="58">
        <f t="shared" si="1197"/>
        <v>0</v>
      </c>
      <c r="BI263" s="58">
        <f t="shared" si="1197"/>
        <v>0</v>
      </c>
      <c r="BJ263" s="58">
        <f t="shared" si="1197"/>
        <v>0</v>
      </c>
      <c r="BK263" s="58">
        <f t="shared" si="1197"/>
        <v>0</v>
      </c>
      <c r="BL263" s="58">
        <f t="shared" si="1197"/>
        <v>0</v>
      </c>
      <c r="BM263" s="58">
        <f t="shared" si="1197"/>
        <v>0</v>
      </c>
      <c r="BN263" s="58">
        <f t="shared" si="1197"/>
        <v>0</v>
      </c>
      <c r="BO263" s="58">
        <f t="shared" si="1197"/>
        <v>0</v>
      </c>
      <c r="BP263" s="58">
        <f t="shared" si="1197"/>
        <v>0</v>
      </c>
      <c r="BQ263" s="58">
        <f t="shared" si="1197"/>
        <v>0</v>
      </c>
      <c r="BR263" s="58">
        <f t="shared" si="1197"/>
        <v>27555</v>
      </c>
      <c r="BS263" s="58">
        <f t="shared" si="1197"/>
        <v>27555</v>
      </c>
      <c r="BT263" s="58">
        <f t="shared" si="1197"/>
        <v>0</v>
      </c>
      <c r="BU263" s="58">
        <f t="shared" si="1197"/>
        <v>0</v>
      </c>
      <c r="BV263" s="58">
        <f t="shared" si="1197"/>
        <v>27555</v>
      </c>
      <c r="BW263" s="58">
        <f t="shared" si="1197"/>
        <v>27555</v>
      </c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</row>
    <row r="264" spans="1:85" ht="15.75" customHeight="1">
      <c r="A264" s="134" t="s">
        <v>545</v>
      </c>
      <c r="B264" s="239"/>
      <c r="C264" s="129" t="s">
        <v>425</v>
      </c>
      <c r="D264" s="244" t="s">
        <v>546</v>
      </c>
      <c r="E264" s="70"/>
      <c r="F264" s="71"/>
      <c r="G264" s="71">
        <f>E264-F264</f>
        <v>0</v>
      </c>
      <c r="H264" s="196"/>
      <c r="I264" s="72">
        <f t="shared" si="723"/>
        <v>0</v>
      </c>
      <c r="J264" s="72">
        <f t="shared" si="724"/>
        <v>0</v>
      </c>
      <c r="K264" s="237"/>
      <c r="L264" s="236"/>
      <c r="M264" s="236"/>
      <c r="N264" s="299">
        <v>1995</v>
      </c>
      <c r="O264" s="77">
        <f t="shared" ref="O264:Q264" si="1198">AA264+AD264+AG264+AJ264+AM264+AP264+AS264+AV264+AY264+BB264+BE264+BH264</f>
        <v>0</v>
      </c>
      <c r="P264" s="77">
        <f t="shared" si="1198"/>
        <v>0</v>
      </c>
      <c r="Q264" s="77">
        <f t="shared" si="1198"/>
        <v>0</v>
      </c>
      <c r="R264" s="77">
        <f t="shared" ref="R264:T264" si="1199">IF(BK264=0,SUM(AA264+AD264+AG264+AJ264+AM264+AP264+AS264+AV264+AY264+BB264+BE264+BH264),BK264)</f>
        <v>0</v>
      </c>
      <c r="S264" s="77">
        <f t="shared" si="1199"/>
        <v>0</v>
      </c>
      <c r="T264" s="77">
        <f t="shared" si="1199"/>
        <v>0</v>
      </c>
      <c r="U264" s="79">
        <f t="shared" ref="U264:U265" si="1200">K264-O264</f>
        <v>0</v>
      </c>
      <c r="V264" s="79">
        <f t="shared" ref="V264:V265" si="1201">L264-M264-S264</f>
        <v>0</v>
      </c>
      <c r="W264" s="78">
        <f t="shared" ref="W264:W265" si="1202">N264-Q264</f>
        <v>1995</v>
      </c>
      <c r="X264" s="80">
        <f t="shared" ref="X264:Y264" si="1203">IF(O264&gt;0,O264/K264,0)</f>
        <v>0</v>
      </c>
      <c r="Y264" s="80">
        <f t="shared" si="1203"/>
        <v>0</v>
      </c>
      <c r="Z264" s="80">
        <f t="shared" si="720"/>
        <v>0</v>
      </c>
      <c r="AA264" s="238"/>
      <c r="AB264" s="238"/>
      <c r="AC264" s="238"/>
      <c r="AD264" s="238"/>
      <c r="AE264" s="300"/>
      <c r="AF264" s="238"/>
      <c r="AG264" s="238"/>
      <c r="AH264" s="238"/>
      <c r="AI264" s="238"/>
      <c r="AJ264" s="238"/>
      <c r="AK264" s="238"/>
      <c r="AL264" s="238"/>
      <c r="AM264" s="238"/>
      <c r="AN264" s="238"/>
      <c r="AO264" s="238"/>
      <c r="AP264" s="238"/>
      <c r="AQ264" s="238"/>
      <c r="AR264" s="238"/>
      <c r="AS264" s="238"/>
      <c r="AT264" s="238"/>
      <c r="AU264" s="238"/>
      <c r="AV264" s="238"/>
      <c r="AW264" s="238"/>
      <c r="AX264" s="238"/>
      <c r="AY264" s="238"/>
      <c r="AZ264" s="238"/>
      <c r="BA264" s="238"/>
      <c r="BB264" s="238"/>
      <c r="BC264" s="238"/>
      <c r="BD264" s="238"/>
      <c r="BE264" s="238"/>
      <c r="BF264" s="238"/>
      <c r="BG264" s="238"/>
      <c r="BH264" s="238"/>
      <c r="BI264" s="238"/>
      <c r="BJ264" s="238"/>
      <c r="BK264" s="82">
        <v>0</v>
      </c>
      <c r="BL264" s="82">
        <v>0</v>
      </c>
      <c r="BM264" s="82">
        <v>0</v>
      </c>
      <c r="BN264" s="81">
        <f t="shared" ref="BN264:BN265" si="1204">IF(O264-BK264&gt;0,O264-BK264,0)</f>
        <v>0</v>
      </c>
      <c r="BO264" s="75">
        <f t="shared" ref="BO264:BO265" si="1205">IF(Q264-BM264&gt;0,Q264-BM264,0)</f>
        <v>0</v>
      </c>
      <c r="BP264" s="81">
        <f t="shared" ref="BP264:BP265" si="1206">IF(BN264+BO264&gt;0,BN264+BO264,0)</f>
        <v>0</v>
      </c>
      <c r="BQ264" s="81">
        <f t="shared" ref="BQ264:BQ265" si="1207">IF(U264=0,0,U264)</f>
        <v>0</v>
      </c>
      <c r="BR264" s="81">
        <f t="shared" ref="BR264:BR265" si="1208">IF(W264=0,0,W264)</f>
        <v>1995</v>
      </c>
      <c r="BS264" s="81">
        <f t="shared" ref="BS264:BS265" si="1209">IF(BQ264+BR264&gt;0,BQ264+BR264,0)</f>
        <v>1995</v>
      </c>
      <c r="BT264" s="81">
        <f t="shared" ref="BT264:BT265" si="1210">IF(V264&gt;0,V264,0)</f>
        <v>0</v>
      </c>
      <c r="BU264" s="81">
        <f t="shared" ref="BU264:BU265" si="1211">IF(BP264=0,0,BP264)</f>
        <v>0</v>
      </c>
      <c r="BV264" s="81">
        <f t="shared" ref="BV264:BV265" si="1212">IF(BS264=0,0,BS264)</f>
        <v>1995</v>
      </c>
      <c r="BW264" s="81">
        <f t="shared" ref="BW264:BW265" si="1213">IF(BP264+BT264+BV264&gt;0,BP264+BT264+BV264,0)</f>
        <v>1995</v>
      </c>
      <c r="BX264" s="1"/>
      <c r="BY264" s="1"/>
      <c r="BZ264" s="1"/>
      <c r="CA264" s="1"/>
      <c r="CB264" s="1"/>
      <c r="CC264" s="1"/>
      <c r="CD264" s="1"/>
      <c r="CE264" s="1"/>
      <c r="CF264" s="1"/>
      <c r="CG264" s="1"/>
    </row>
    <row r="265" spans="1:85" ht="15.75" customHeight="1">
      <c r="A265" s="134" t="s">
        <v>547</v>
      </c>
      <c r="B265" s="239"/>
      <c r="C265" s="129" t="s">
        <v>367</v>
      </c>
      <c r="D265" s="244" t="s">
        <v>548</v>
      </c>
      <c r="E265" s="70"/>
      <c r="F265" s="71"/>
      <c r="G265" s="93">
        <v>0</v>
      </c>
      <c r="H265" s="196"/>
      <c r="I265" s="72">
        <f t="shared" si="723"/>
        <v>0</v>
      </c>
      <c r="J265" s="72">
        <f t="shared" si="724"/>
        <v>0</v>
      </c>
      <c r="K265" s="237"/>
      <c r="L265" s="236"/>
      <c r="M265" s="236"/>
      <c r="N265" s="299">
        <v>25560</v>
      </c>
      <c r="O265" s="77">
        <f t="shared" ref="O265:Q265" si="1214">AA265+AD265+AG265+AJ265+AM265+AP265+AS265+AV265+AY265+BB265+BE265+BH265</f>
        <v>0</v>
      </c>
      <c r="P265" s="77">
        <f t="shared" si="1214"/>
        <v>0</v>
      </c>
      <c r="Q265" s="77">
        <f t="shared" si="1214"/>
        <v>0</v>
      </c>
      <c r="R265" s="77">
        <f t="shared" ref="R265:T265" si="1215">IF(BK265=0,SUM(AA265+AD265+AG265+AJ265+AM265+AP265+AS265+AV265+AY265+BB265+BE265+BH265),BK265)</f>
        <v>0</v>
      </c>
      <c r="S265" s="77">
        <f t="shared" si="1215"/>
        <v>0</v>
      </c>
      <c r="T265" s="77">
        <f t="shared" si="1215"/>
        <v>0</v>
      </c>
      <c r="U265" s="79">
        <f t="shared" si="1200"/>
        <v>0</v>
      </c>
      <c r="V265" s="79">
        <f t="shared" si="1201"/>
        <v>0</v>
      </c>
      <c r="W265" s="78">
        <f t="shared" si="1202"/>
        <v>25560</v>
      </c>
      <c r="X265" s="80">
        <f t="shared" ref="X265:Y265" si="1216">IF(O265&gt;0,O265/K265,0)</f>
        <v>0</v>
      </c>
      <c r="Y265" s="80">
        <f t="shared" si="1216"/>
        <v>0</v>
      </c>
      <c r="Z265" s="80">
        <f t="shared" si="720"/>
        <v>0</v>
      </c>
      <c r="AA265" s="238"/>
      <c r="AB265" s="238"/>
      <c r="AC265" s="238"/>
      <c r="AD265" s="238"/>
      <c r="AE265" s="300"/>
      <c r="AF265" s="238"/>
      <c r="AG265" s="238"/>
      <c r="AH265" s="238"/>
      <c r="AI265" s="238"/>
      <c r="AJ265" s="238"/>
      <c r="AK265" s="238"/>
      <c r="AL265" s="238"/>
      <c r="AM265" s="238"/>
      <c r="AN265" s="238"/>
      <c r="AO265" s="238"/>
      <c r="AP265" s="238"/>
      <c r="AQ265" s="238"/>
      <c r="AR265" s="238"/>
      <c r="AS265" s="238"/>
      <c r="AT265" s="238"/>
      <c r="AU265" s="238"/>
      <c r="AV265" s="238"/>
      <c r="AW265" s="238"/>
      <c r="AX265" s="238"/>
      <c r="AY265" s="238"/>
      <c r="AZ265" s="238"/>
      <c r="BA265" s="238"/>
      <c r="BB265" s="238"/>
      <c r="BC265" s="238"/>
      <c r="BD265" s="238"/>
      <c r="BE265" s="238"/>
      <c r="BF265" s="238"/>
      <c r="BG265" s="238"/>
      <c r="BH265" s="238"/>
      <c r="BI265" s="238"/>
      <c r="BJ265" s="238"/>
      <c r="BK265" s="82">
        <v>0</v>
      </c>
      <c r="BL265" s="82">
        <v>0</v>
      </c>
      <c r="BM265" s="82">
        <v>0</v>
      </c>
      <c r="BN265" s="81">
        <f t="shared" si="1204"/>
        <v>0</v>
      </c>
      <c r="BO265" s="75">
        <f t="shared" si="1205"/>
        <v>0</v>
      </c>
      <c r="BP265" s="81">
        <f t="shared" si="1206"/>
        <v>0</v>
      </c>
      <c r="BQ265" s="81">
        <f t="shared" si="1207"/>
        <v>0</v>
      </c>
      <c r="BR265" s="81">
        <f t="shared" si="1208"/>
        <v>25560</v>
      </c>
      <c r="BS265" s="81">
        <f t="shared" si="1209"/>
        <v>25560</v>
      </c>
      <c r="BT265" s="81">
        <f t="shared" si="1210"/>
        <v>0</v>
      </c>
      <c r="BU265" s="81">
        <f t="shared" si="1211"/>
        <v>0</v>
      </c>
      <c r="BV265" s="81">
        <f t="shared" si="1212"/>
        <v>25560</v>
      </c>
      <c r="BW265" s="81">
        <f t="shared" si="1213"/>
        <v>25560</v>
      </c>
      <c r="BX265" s="1"/>
      <c r="BY265" s="1"/>
      <c r="BZ265" s="1"/>
      <c r="CA265" s="1"/>
      <c r="CB265" s="1"/>
      <c r="CC265" s="1"/>
      <c r="CD265" s="1"/>
      <c r="CE265" s="1"/>
      <c r="CF265" s="1"/>
      <c r="CG265" s="1"/>
    </row>
    <row r="266" spans="1:85" ht="15.75">
      <c r="A266" s="109"/>
      <c r="B266" s="110"/>
      <c r="C266" s="111"/>
      <c r="D266" s="112" t="s">
        <v>549</v>
      </c>
      <c r="E266" s="58">
        <f t="shared" ref="E266:H266" si="1217">SUM(E267)</f>
        <v>0</v>
      </c>
      <c r="F266" s="58">
        <f t="shared" si="1217"/>
        <v>0</v>
      </c>
      <c r="G266" s="58">
        <f t="shared" si="1217"/>
        <v>0</v>
      </c>
      <c r="H266" s="58">
        <f t="shared" si="1217"/>
        <v>0</v>
      </c>
      <c r="I266" s="60">
        <f t="shared" si="723"/>
        <v>0</v>
      </c>
      <c r="J266" s="60">
        <f t="shared" si="724"/>
        <v>0</v>
      </c>
      <c r="K266" s="58">
        <f t="shared" ref="K266:W266" si="1218">SUM(K267)</f>
        <v>0</v>
      </c>
      <c r="L266" s="58">
        <f t="shared" si="1218"/>
        <v>109523</v>
      </c>
      <c r="M266" s="58">
        <f t="shared" si="1218"/>
        <v>0</v>
      </c>
      <c r="N266" s="58">
        <f t="shared" si="1218"/>
        <v>0</v>
      </c>
      <c r="O266" s="58">
        <f t="shared" si="1218"/>
        <v>0</v>
      </c>
      <c r="P266" s="58">
        <f t="shared" si="1218"/>
        <v>109523</v>
      </c>
      <c r="Q266" s="58">
        <f t="shared" si="1218"/>
        <v>0</v>
      </c>
      <c r="R266" s="58">
        <f t="shared" si="1218"/>
        <v>0</v>
      </c>
      <c r="S266" s="58">
        <f t="shared" si="1218"/>
        <v>109523</v>
      </c>
      <c r="T266" s="58">
        <f t="shared" si="1218"/>
        <v>0</v>
      </c>
      <c r="U266" s="58">
        <f t="shared" si="1218"/>
        <v>0</v>
      </c>
      <c r="V266" s="58">
        <f t="shared" si="1218"/>
        <v>0</v>
      </c>
      <c r="W266" s="58">
        <f t="shared" si="1218"/>
        <v>0</v>
      </c>
      <c r="X266" s="63">
        <f t="shared" ref="X266:Y266" si="1219">IF(O266&gt;0,O266/K266,0)</f>
        <v>0</v>
      </c>
      <c r="Y266" s="63">
        <f t="shared" si="1219"/>
        <v>1</v>
      </c>
      <c r="Z266" s="63">
        <f t="shared" si="720"/>
        <v>0</v>
      </c>
      <c r="AA266" s="58">
        <f t="shared" ref="AA266:BW266" si="1220">SUM(AA267)</f>
        <v>0</v>
      </c>
      <c r="AB266" s="58">
        <f t="shared" si="1220"/>
        <v>0</v>
      </c>
      <c r="AC266" s="58">
        <f t="shared" si="1220"/>
        <v>0</v>
      </c>
      <c r="AD266" s="58">
        <f t="shared" si="1220"/>
        <v>0</v>
      </c>
      <c r="AE266" s="58">
        <f t="shared" si="1220"/>
        <v>0</v>
      </c>
      <c r="AF266" s="58">
        <f t="shared" si="1220"/>
        <v>0</v>
      </c>
      <c r="AG266" s="58">
        <f t="shared" si="1220"/>
        <v>0</v>
      </c>
      <c r="AH266" s="58">
        <f t="shared" si="1220"/>
        <v>109523</v>
      </c>
      <c r="AI266" s="58">
        <f t="shared" si="1220"/>
        <v>0</v>
      </c>
      <c r="AJ266" s="58">
        <f t="shared" si="1220"/>
        <v>0</v>
      </c>
      <c r="AK266" s="58">
        <f t="shared" si="1220"/>
        <v>0</v>
      </c>
      <c r="AL266" s="58">
        <f t="shared" si="1220"/>
        <v>0</v>
      </c>
      <c r="AM266" s="58">
        <f t="shared" si="1220"/>
        <v>0</v>
      </c>
      <c r="AN266" s="58">
        <f t="shared" si="1220"/>
        <v>0</v>
      </c>
      <c r="AO266" s="58">
        <f t="shared" si="1220"/>
        <v>0</v>
      </c>
      <c r="AP266" s="58">
        <f t="shared" si="1220"/>
        <v>0</v>
      </c>
      <c r="AQ266" s="58">
        <f t="shared" si="1220"/>
        <v>0</v>
      </c>
      <c r="AR266" s="58">
        <f t="shared" si="1220"/>
        <v>0</v>
      </c>
      <c r="AS266" s="58">
        <f t="shared" si="1220"/>
        <v>0</v>
      </c>
      <c r="AT266" s="58">
        <f t="shared" si="1220"/>
        <v>0</v>
      </c>
      <c r="AU266" s="58">
        <f t="shared" si="1220"/>
        <v>0</v>
      </c>
      <c r="AV266" s="58">
        <f t="shared" si="1220"/>
        <v>0</v>
      </c>
      <c r="AW266" s="58">
        <f t="shared" si="1220"/>
        <v>0</v>
      </c>
      <c r="AX266" s="58">
        <f t="shared" si="1220"/>
        <v>0</v>
      </c>
      <c r="AY266" s="58">
        <f t="shared" si="1220"/>
        <v>0</v>
      </c>
      <c r="AZ266" s="58">
        <f t="shared" si="1220"/>
        <v>0</v>
      </c>
      <c r="BA266" s="58">
        <f t="shared" si="1220"/>
        <v>0</v>
      </c>
      <c r="BB266" s="58">
        <f t="shared" si="1220"/>
        <v>0</v>
      </c>
      <c r="BC266" s="58">
        <f t="shared" si="1220"/>
        <v>0</v>
      </c>
      <c r="BD266" s="58">
        <f t="shared" si="1220"/>
        <v>0</v>
      </c>
      <c r="BE266" s="58">
        <f t="shared" si="1220"/>
        <v>0</v>
      </c>
      <c r="BF266" s="58">
        <f t="shared" si="1220"/>
        <v>0</v>
      </c>
      <c r="BG266" s="58">
        <f t="shared" si="1220"/>
        <v>0</v>
      </c>
      <c r="BH266" s="58">
        <f t="shared" si="1220"/>
        <v>0</v>
      </c>
      <c r="BI266" s="58">
        <f t="shared" si="1220"/>
        <v>0</v>
      </c>
      <c r="BJ266" s="58">
        <f t="shared" si="1220"/>
        <v>0</v>
      </c>
      <c r="BK266" s="58">
        <f t="shared" si="1220"/>
        <v>0</v>
      </c>
      <c r="BL266" s="58">
        <f t="shared" si="1220"/>
        <v>109523</v>
      </c>
      <c r="BM266" s="58">
        <f t="shared" si="1220"/>
        <v>0</v>
      </c>
      <c r="BN266" s="58">
        <f t="shared" si="1220"/>
        <v>0</v>
      </c>
      <c r="BO266" s="58">
        <f t="shared" si="1220"/>
        <v>0</v>
      </c>
      <c r="BP266" s="58">
        <f t="shared" si="1220"/>
        <v>0</v>
      </c>
      <c r="BQ266" s="58">
        <f t="shared" si="1220"/>
        <v>0</v>
      </c>
      <c r="BR266" s="58">
        <f t="shared" si="1220"/>
        <v>0</v>
      </c>
      <c r="BS266" s="58">
        <f t="shared" si="1220"/>
        <v>0</v>
      </c>
      <c r="BT266" s="58">
        <f t="shared" si="1220"/>
        <v>0</v>
      </c>
      <c r="BU266" s="58">
        <f t="shared" si="1220"/>
        <v>0</v>
      </c>
      <c r="BV266" s="58">
        <f t="shared" si="1220"/>
        <v>0</v>
      </c>
      <c r="BW266" s="58">
        <f t="shared" si="1220"/>
        <v>0</v>
      </c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</row>
    <row r="267" spans="1:85" ht="15.75" customHeight="1">
      <c r="A267" s="193"/>
      <c r="B267" s="243" t="s">
        <v>550</v>
      </c>
      <c r="C267" s="86" t="s">
        <v>435</v>
      </c>
      <c r="D267" s="240" t="s">
        <v>551</v>
      </c>
      <c r="E267" s="70"/>
      <c r="F267" s="71"/>
      <c r="G267" s="71">
        <f>E267-F267</f>
        <v>0</v>
      </c>
      <c r="H267" s="196"/>
      <c r="I267" s="72">
        <f t="shared" si="723"/>
        <v>0</v>
      </c>
      <c r="J267" s="72">
        <f t="shared" si="724"/>
        <v>0</v>
      </c>
      <c r="K267" s="237"/>
      <c r="L267" s="236">
        <v>109523</v>
      </c>
      <c r="M267" s="236"/>
      <c r="N267" s="237"/>
      <c r="O267" s="77">
        <f t="shared" ref="O267:Q267" si="1221">AA267+AD267+AG267+AJ267+AM267+AP267+AS267+AV267+AY267+BB267+BE267+BH267</f>
        <v>0</v>
      </c>
      <c r="P267" s="77">
        <f t="shared" si="1221"/>
        <v>109523</v>
      </c>
      <c r="Q267" s="77">
        <f t="shared" si="1221"/>
        <v>0</v>
      </c>
      <c r="R267" s="77">
        <f t="shared" ref="R267:T267" si="1222">IF(BK267=0,SUM(AA267+AD267+AG267+AJ267+AM267+AP267+AS267+AV267+AY267+BB267+BE267+BH267),BK267)</f>
        <v>0</v>
      </c>
      <c r="S267" s="77">
        <f t="shared" si="1222"/>
        <v>109523</v>
      </c>
      <c r="T267" s="77">
        <f t="shared" si="1222"/>
        <v>0</v>
      </c>
      <c r="U267" s="79">
        <f>K267-O267</f>
        <v>0</v>
      </c>
      <c r="V267" s="79">
        <f>L267-M267-S267</f>
        <v>0</v>
      </c>
      <c r="W267" s="79">
        <f>N267-Q267</f>
        <v>0</v>
      </c>
      <c r="X267" s="80">
        <f t="shared" ref="X267:Y267" si="1223">IF(O267&gt;0,O267/K267,0)</f>
        <v>0</v>
      </c>
      <c r="Y267" s="80">
        <f t="shared" si="1223"/>
        <v>1</v>
      </c>
      <c r="Z267" s="80">
        <f t="shared" si="720"/>
        <v>0</v>
      </c>
      <c r="AA267" s="238"/>
      <c r="AB267" s="238"/>
      <c r="AC267" s="238"/>
      <c r="AD267" s="238"/>
      <c r="AE267" s="238"/>
      <c r="AF267" s="238"/>
      <c r="AG267" s="238"/>
      <c r="AH267" s="241">
        <v>109523</v>
      </c>
      <c r="AI267" s="238"/>
      <c r="AJ267" s="238"/>
      <c r="AK267" s="238"/>
      <c r="AL267" s="238"/>
      <c r="AM267" s="238"/>
      <c r="AN267" s="238"/>
      <c r="AO267" s="238"/>
      <c r="AP267" s="238"/>
      <c r="AQ267" s="238"/>
      <c r="AR267" s="238"/>
      <c r="AS267" s="238"/>
      <c r="AT267" s="238"/>
      <c r="AU267" s="238"/>
      <c r="AV267" s="238"/>
      <c r="AW267" s="238"/>
      <c r="AX267" s="238"/>
      <c r="AY267" s="238"/>
      <c r="AZ267" s="238"/>
      <c r="BA267" s="238"/>
      <c r="BB267" s="238"/>
      <c r="BC267" s="238"/>
      <c r="BD267" s="238"/>
      <c r="BE267" s="238"/>
      <c r="BF267" s="238"/>
      <c r="BG267" s="238"/>
      <c r="BH267" s="238"/>
      <c r="BI267" s="238"/>
      <c r="BJ267" s="238"/>
      <c r="BK267" s="82">
        <v>0</v>
      </c>
      <c r="BL267" s="82">
        <v>109523</v>
      </c>
      <c r="BM267" s="82">
        <v>0</v>
      </c>
      <c r="BN267" s="81">
        <f>IF(O267-BK267&gt;0,O267-BK267,0)</f>
        <v>0</v>
      </c>
      <c r="BO267" s="75">
        <f>IF(Q267-BM267&gt;0,Q267-BM267,0)</f>
        <v>0</v>
      </c>
      <c r="BP267" s="81">
        <f>IF(BN267+BO267&gt;0,BN267+BO267,0)</f>
        <v>0</v>
      </c>
      <c r="BQ267" s="81">
        <f>IF(U267=0,0,U267)</f>
        <v>0</v>
      </c>
      <c r="BR267" s="81">
        <f>IF(W267=0,0,W267)</f>
        <v>0</v>
      </c>
      <c r="BS267" s="81">
        <f>IF(BQ267+BR267&gt;0,BQ267+BR267,0)</f>
        <v>0</v>
      </c>
      <c r="BT267" s="81">
        <f>IF(V267&gt;0,V267,0)</f>
        <v>0</v>
      </c>
      <c r="BU267" s="81">
        <f>IF(BP267=0,0,BP267)</f>
        <v>0</v>
      </c>
      <c r="BV267" s="81">
        <f>IF(BS267=0,0,BS267)</f>
        <v>0</v>
      </c>
      <c r="BW267" s="81">
        <f>IF(BP267+BT267+BV267&gt;0,BP267+BT267+BV267,0)</f>
        <v>0</v>
      </c>
      <c r="BX267" s="1"/>
      <c r="BY267" s="1"/>
      <c r="BZ267" s="1"/>
      <c r="CA267" s="1"/>
      <c r="CB267" s="1"/>
      <c r="CC267" s="1"/>
      <c r="CD267" s="1"/>
      <c r="CE267" s="1"/>
      <c r="CF267" s="1"/>
      <c r="CG267" s="1"/>
    </row>
    <row r="268" spans="1:85" ht="15.75">
      <c r="A268" s="109"/>
      <c r="B268" s="110"/>
      <c r="C268" s="111"/>
      <c r="D268" s="112" t="s">
        <v>397</v>
      </c>
      <c r="E268" s="58">
        <f t="shared" ref="E268:H268" si="1224">SUM(E269+E271+E273)</f>
        <v>0</v>
      </c>
      <c r="F268" s="58">
        <f t="shared" si="1224"/>
        <v>0</v>
      </c>
      <c r="G268" s="58">
        <f t="shared" si="1224"/>
        <v>0</v>
      </c>
      <c r="H268" s="58">
        <f t="shared" si="1224"/>
        <v>0</v>
      </c>
      <c r="I268" s="60">
        <f t="shared" si="723"/>
        <v>0</v>
      </c>
      <c r="J268" s="60">
        <f t="shared" si="724"/>
        <v>0</v>
      </c>
      <c r="K268" s="58">
        <f t="shared" ref="K268:W268" si="1225">SUM(K269+K271+K273)</f>
        <v>0</v>
      </c>
      <c r="L268" s="58">
        <f t="shared" si="1225"/>
        <v>31797</v>
      </c>
      <c r="M268" s="58">
        <f t="shared" si="1225"/>
        <v>648.74</v>
      </c>
      <c r="N268" s="58">
        <f t="shared" si="1225"/>
        <v>85143.02</v>
      </c>
      <c r="O268" s="58">
        <f t="shared" si="1225"/>
        <v>0</v>
      </c>
      <c r="P268" s="58">
        <f t="shared" si="1225"/>
        <v>31148.26</v>
      </c>
      <c r="Q268" s="58">
        <f t="shared" si="1225"/>
        <v>73683.02</v>
      </c>
      <c r="R268" s="58">
        <f t="shared" si="1225"/>
        <v>0</v>
      </c>
      <c r="S268" s="58">
        <f t="shared" si="1225"/>
        <v>31148.26</v>
      </c>
      <c r="T268" s="58">
        <f t="shared" si="1225"/>
        <v>73683.02</v>
      </c>
      <c r="U268" s="58">
        <f t="shared" si="1225"/>
        <v>0</v>
      </c>
      <c r="V268" s="58">
        <f t="shared" si="1225"/>
        <v>0</v>
      </c>
      <c r="W268" s="58">
        <f t="shared" si="1225"/>
        <v>11460</v>
      </c>
      <c r="X268" s="63">
        <f t="shared" ref="X268:Y268" si="1226">IF(O268&gt;0,O268/K268,0)</f>
        <v>0</v>
      </c>
      <c r="Y268" s="63">
        <f t="shared" si="1226"/>
        <v>0.97959744629996537</v>
      </c>
      <c r="Z268" s="63">
        <f t="shared" si="720"/>
        <v>0.86540294201450685</v>
      </c>
      <c r="AA268" s="58">
        <f t="shared" ref="AA268:BW268" si="1227">SUM(AA269+AA271+AA273)</f>
        <v>0</v>
      </c>
      <c r="AB268" s="58">
        <f t="shared" si="1227"/>
        <v>0</v>
      </c>
      <c r="AC268" s="58">
        <f t="shared" si="1227"/>
        <v>0</v>
      </c>
      <c r="AD268" s="58">
        <f t="shared" si="1227"/>
        <v>0</v>
      </c>
      <c r="AE268" s="58">
        <f t="shared" si="1227"/>
        <v>0</v>
      </c>
      <c r="AF268" s="58">
        <f t="shared" si="1227"/>
        <v>0</v>
      </c>
      <c r="AG268" s="58">
        <f t="shared" si="1227"/>
        <v>0</v>
      </c>
      <c r="AH268" s="58">
        <f t="shared" si="1227"/>
        <v>31148.26</v>
      </c>
      <c r="AI268" s="58">
        <f t="shared" si="1227"/>
        <v>0</v>
      </c>
      <c r="AJ268" s="58">
        <f t="shared" si="1227"/>
        <v>0</v>
      </c>
      <c r="AK268" s="58">
        <f t="shared" si="1227"/>
        <v>0</v>
      </c>
      <c r="AL268" s="58">
        <f t="shared" si="1227"/>
        <v>0</v>
      </c>
      <c r="AM268" s="58">
        <f t="shared" si="1227"/>
        <v>0</v>
      </c>
      <c r="AN268" s="58">
        <f t="shared" si="1227"/>
        <v>0</v>
      </c>
      <c r="AO268" s="58">
        <f t="shared" si="1227"/>
        <v>0</v>
      </c>
      <c r="AP268" s="58">
        <f t="shared" si="1227"/>
        <v>0</v>
      </c>
      <c r="AQ268" s="58">
        <f t="shared" si="1227"/>
        <v>0</v>
      </c>
      <c r="AR268" s="58">
        <f t="shared" si="1227"/>
        <v>0</v>
      </c>
      <c r="AS268" s="58">
        <f t="shared" si="1227"/>
        <v>0</v>
      </c>
      <c r="AT268" s="58">
        <f t="shared" si="1227"/>
        <v>0</v>
      </c>
      <c r="AU268" s="58">
        <f t="shared" si="1227"/>
        <v>44500</v>
      </c>
      <c r="AV268" s="58">
        <f t="shared" si="1227"/>
        <v>0</v>
      </c>
      <c r="AW268" s="58">
        <f t="shared" si="1227"/>
        <v>0</v>
      </c>
      <c r="AX268" s="58">
        <f t="shared" si="1227"/>
        <v>11932</v>
      </c>
      <c r="AY268" s="58">
        <f t="shared" si="1227"/>
        <v>0</v>
      </c>
      <c r="AZ268" s="58">
        <f t="shared" si="1227"/>
        <v>0</v>
      </c>
      <c r="BA268" s="58">
        <f t="shared" si="1227"/>
        <v>0</v>
      </c>
      <c r="BB268" s="58">
        <f t="shared" si="1227"/>
        <v>0</v>
      </c>
      <c r="BC268" s="58">
        <f t="shared" si="1227"/>
        <v>0</v>
      </c>
      <c r="BD268" s="58">
        <f t="shared" si="1227"/>
        <v>4751.0200000000004</v>
      </c>
      <c r="BE268" s="58">
        <f t="shared" si="1227"/>
        <v>0</v>
      </c>
      <c r="BF268" s="58">
        <f t="shared" si="1227"/>
        <v>0</v>
      </c>
      <c r="BG268" s="58">
        <f t="shared" si="1227"/>
        <v>5000</v>
      </c>
      <c r="BH268" s="58">
        <f t="shared" si="1227"/>
        <v>0</v>
      </c>
      <c r="BI268" s="58">
        <f t="shared" si="1227"/>
        <v>0</v>
      </c>
      <c r="BJ268" s="58">
        <f t="shared" si="1227"/>
        <v>7500</v>
      </c>
      <c r="BK268" s="58">
        <f t="shared" si="1227"/>
        <v>0</v>
      </c>
      <c r="BL268" s="58">
        <f t="shared" si="1227"/>
        <v>31148.26</v>
      </c>
      <c r="BM268" s="58">
        <f t="shared" si="1227"/>
        <v>73683.02</v>
      </c>
      <c r="BN268" s="58">
        <f t="shared" si="1227"/>
        <v>0</v>
      </c>
      <c r="BO268" s="58">
        <f t="shared" si="1227"/>
        <v>0</v>
      </c>
      <c r="BP268" s="58">
        <f t="shared" si="1227"/>
        <v>0</v>
      </c>
      <c r="BQ268" s="58">
        <f t="shared" si="1227"/>
        <v>0</v>
      </c>
      <c r="BR268" s="58">
        <f t="shared" si="1227"/>
        <v>11460</v>
      </c>
      <c r="BS268" s="58">
        <f t="shared" si="1227"/>
        <v>11460</v>
      </c>
      <c r="BT268" s="58">
        <f t="shared" si="1227"/>
        <v>0</v>
      </c>
      <c r="BU268" s="58">
        <f t="shared" si="1227"/>
        <v>0</v>
      </c>
      <c r="BV268" s="58">
        <f t="shared" si="1227"/>
        <v>11460</v>
      </c>
      <c r="BW268" s="58">
        <f t="shared" si="1227"/>
        <v>11460</v>
      </c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</row>
    <row r="269" spans="1:85" ht="15.75" customHeight="1">
      <c r="A269" s="206"/>
      <c r="B269" s="207"/>
      <c r="C269" s="208"/>
      <c r="D269" s="209" t="s">
        <v>452</v>
      </c>
      <c r="E269" s="202">
        <f t="shared" ref="E269:H269" si="1228">E270</f>
        <v>0</v>
      </c>
      <c r="F269" s="203">
        <f t="shared" si="1228"/>
        <v>0</v>
      </c>
      <c r="G269" s="203">
        <f t="shared" si="1228"/>
        <v>0</v>
      </c>
      <c r="H269" s="203">
        <f t="shared" si="1228"/>
        <v>0</v>
      </c>
      <c r="I269" s="204">
        <f t="shared" si="723"/>
        <v>0</v>
      </c>
      <c r="J269" s="204">
        <f t="shared" si="724"/>
        <v>0</v>
      </c>
      <c r="K269" s="203">
        <f t="shared" ref="K269:W269" si="1229">K270</f>
        <v>0</v>
      </c>
      <c r="L269" s="203">
        <f t="shared" si="1229"/>
        <v>0</v>
      </c>
      <c r="M269" s="203">
        <f t="shared" si="1229"/>
        <v>0</v>
      </c>
      <c r="N269" s="203">
        <f t="shared" si="1229"/>
        <v>4751.0200000000004</v>
      </c>
      <c r="O269" s="203">
        <f t="shared" si="1229"/>
        <v>0</v>
      </c>
      <c r="P269" s="203">
        <f t="shared" si="1229"/>
        <v>0</v>
      </c>
      <c r="Q269" s="203">
        <f t="shared" si="1229"/>
        <v>4751.0200000000004</v>
      </c>
      <c r="R269" s="203">
        <f t="shared" si="1229"/>
        <v>0</v>
      </c>
      <c r="S269" s="203">
        <f t="shared" si="1229"/>
        <v>0</v>
      </c>
      <c r="T269" s="203">
        <f t="shared" si="1229"/>
        <v>4751.0200000000004</v>
      </c>
      <c r="U269" s="203">
        <f t="shared" si="1229"/>
        <v>0</v>
      </c>
      <c r="V269" s="203">
        <f t="shared" si="1229"/>
        <v>0</v>
      </c>
      <c r="W269" s="203">
        <f t="shared" si="1229"/>
        <v>0</v>
      </c>
      <c r="X269" s="205">
        <f t="shared" ref="X269:Y269" si="1230">IF(O269&gt;0,O269/K269,0)</f>
        <v>0</v>
      </c>
      <c r="Y269" s="205">
        <f t="shared" si="1230"/>
        <v>0</v>
      </c>
      <c r="Z269" s="205">
        <f t="shared" si="720"/>
        <v>1</v>
      </c>
      <c r="AA269" s="203">
        <f t="shared" ref="AA269:BW269" si="1231">AA270</f>
        <v>0</v>
      </c>
      <c r="AB269" s="203">
        <f t="shared" si="1231"/>
        <v>0</v>
      </c>
      <c r="AC269" s="203">
        <f t="shared" si="1231"/>
        <v>0</v>
      </c>
      <c r="AD269" s="203">
        <f t="shared" si="1231"/>
        <v>0</v>
      </c>
      <c r="AE269" s="203">
        <f t="shared" si="1231"/>
        <v>0</v>
      </c>
      <c r="AF269" s="203">
        <f t="shared" si="1231"/>
        <v>0</v>
      </c>
      <c r="AG269" s="203">
        <f t="shared" si="1231"/>
        <v>0</v>
      </c>
      <c r="AH269" s="203">
        <f t="shared" si="1231"/>
        <v>0</v>
      </c>
      <c r="AI269" s="203">
        <f t="shared" si="1231"/>
        <v>0</v>
      </c>
      <c r="AJ269" s="203">
        <f t="shared" si="1231"/>
        <v>0</v>
      </c>
      <c r="AK269" s="203">
        <f t="shared" si="1231"/>
        <v>0</v>
      </c>
      <c r="AL269" s="203">
        <f t="shared" si="1231"/>
        <v>0</v>
      </c>
      <c r="AM269" s="203">
        <f t="shared" si="1231"/>
        <v>0</v>
      </c>
      <c r="AN269" s="203">
        <f t="shared" si="1231"/>
        <v>0</v>
      </c>
      <c r="AO269" s="203">
        <f t="shared" si="1231"/>
        <v>0</v>
      </c>
      <c r="AP269" s="203">
        <f t="shared" si="1231"/>
        <v>0</v>
      </c>
      <c r="AQ269" s="203">
        <f t="shared" si="1231"/>
        <v>0</v>
      </c>
      <c r="AR269" s="203">
        <f t="shared" si="1231"/>
        <v>0</v>
      </c>
      <c r="AS269" s="203">
        <f t="shared" si="1231"/>
        <v>0</v>
      </c>
      <c r="AT269" s="203">
        <f t="shared" si="1231"/>
        <v>0</v>
      </c>
      <c r="AU269" s="203">
        <f t="shared" si="1231"/>
        <v>0</v>
      </c>
      <c r="AV269" s="203">
        <f t="shared" si="1231"/>
        <v>0</v>
      </c>
      <c r="AW269" s="203">
        <f t="shared" si="1231"/>
        <v>0</v>
      </c>
      <c r="AX269" s="203">
        <f t="shared" si="1231"/>
        <v>0</v>
      </c>
      <c r="AY269" s="203">
        <f t="shared" si="1231"/>
        <v>0</v>
      </c>
      <c r="AZ269" s="203">
        <f t="shared" si="1231"/>
        <v>0</v>
      </c>
      <c r="BA269" s="203">
        <f t="shared" si="1231"/>
        <v>0</v>
      </c>
      <c r="BB269" s="203">
        <f t="shared" si="1231"/>
        <v>0</v>
      </c>
      <c r="BC269" s="203">
        <f t="shared" si="1231"/>
        <v>0</v>
      </c>
      <c r="BD269" s="203">
        <f t="shared" si="1231"/>
        <v>4751.0200000000004</v>
      </c>
      <c r="BE269" s="203">
        <f t="shared" si="1231"/>
        <v>0</v>
      </c>
      <c r="BF269" s="203">
        <f t="shared" si="1231"/>
        <v>0</v>
      </c>
      <c r="BG269" s="203">
        <f t="shared" si="1231"/>
        <v>0</v>
      </c>
      <c r="BH269" s="203">
        <f t="shared" si="1231"/>
        <v>0</v>
      </c>
      <c r="BI269" s="203">
        <f t="shared" si="1231"/>
        <v>0</v>
      </c>
      <c r="BJ269" s="203">
        <f t="shared" si="1231"/>
        <v>0</v>
      </c>
      <c r="BK269" s="203">
        <f t="shared" si="1231"/>
        <v>0</v>
      </c>
      <c r="BL269" s="203">
        <f t="shared" si="1231"/>
        <v>0</v>
      </c>
      <c r="BM269" s="203">
        <f t="shared" si="1231"/>
        <v>4751.0200000000004</v>
      </c>
      <c r="BN269" s="203">
        <f t="shared" si="1231"/>
        <v>0</v>
      </c>
      <c r="BO269" s="203">
        <f t="shared" si="1231"/>
        <v>0</v>
      </c>
      <c r="BP269" s="203">
        <f t="shared" si="1231"/>
        <v>0</v>
      </c>
      <c r="BQ269" s="203">
        <f t="shared" si="1231"/>
        <v>0</v>
      </c>
      <c r="BR269" s="203">
        <f t="shared" si="1231"/>
        <v>0</v>
      </c>
      <c r="BS269" s="203">
        <f t="shared" si="1231"/>
        <v>0</v>
      </c>
      <c r="BT269" s="203">
        <f t="shared" si="1231"/>
        <v>0</v>
      </c>
      <c r="BU269" s="203">
        <f t="shared" si="1231"/>
        <v>0</v>
      </c>
      <c r="BV269" s="203">
        <f t="shared" si="1231"/>
        <v>0</v>
      </c>
      <c r="BW269" s="203">
        <f t="shared" si="1231"/>
        <v>0</v>
      </c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</row>
    <row r="270" spans="1:85" ht="15.75" customHeight="1">
      <c r="A270" s="183" t="s">
        <v>459</v>
      </c>
      <c r="B270" s="254"/>
      <c r="C270" s="264" t="s">
        <v>460</v>
      </c>
      <c r="D270" s="273" t="s">
        <v>454</v>
      </c>
      <c r="E270" s="70"/>
      <c r="F270" s="71"/>
      <c r="G270" s="71"/>
      <c r="H270" s="70"/>
      <c r="I270" s="72">
        <f t="shared" si="723"/>
        <v>0</v>
      </c>
      <c r="J270" s="72">
        <f t="shared" si="724"/>
        <v>0</v>
      </c>
      <c r="K270" s="231"/>
      <c r="L270" s="81"/>
      <c r="M270" s="75"/>
      <c r="N270" s="94">
        <v>4751.0200000000004</v>
      </c>
      <c r="O270" s="77">
        <f t="shared" ref="O270:Q270" si="1232">AA270+AD270+AG270+AJ270+AM270+AP270+AS270+AV270+AY270+BB270+BE270+BH270</f>
        <v>0</v>
      </c>
      <c r="P270" s="77">
        <f t="shared" si="1232"/>
        <v>0</v>
      </c>
      <c r="Q270" s="77">
        <f t="shared" si="1232"/>
        <v>4751.0200000000004</v>
      </c>
      <c r="R270" s="77">
        <f t="shared" ref="R270:T270" si="1233">IF(BK270=0,SUM(AA270+AD270+AG270+AJ270+AM270+AP270+AS270+AV270+AY270+BB270+BE270+BH270),BK270)</f>
        <v>0</v>
      </c>
      <c r="S270" s="77">
        <f t="shared" si="1233"/>
        <v>0</v>
      </c>
      <c r="T270" s="77">
        <f t="shared" si="1233"/>
        <v>4751.0200000000004</v>
      </c>
      <c r="U270" s="79">
        <f>K270-O270</f>
        <v>0</v>
      </c>
      <c r="V270" s="79">
        <f>L270-M270-S270</f>
        <v>0</v>
      </c>
      <c r="W270" s="79">
        <f>N270-Q270</f>
        <v>0</v>
      </c>
      <c r="X270" s="80">
        <f t="shared" ref="X270:Y270" si="1234">IF(O270&gt;0,O270/K270,0)</f>
        <v>0</v>
      </c>
      <c r="Y270" s="80">
        <f t="shared" si="1234"/>
        <v>0</v>
      </c>
      <c r="Z270" s="80">
        <f t="shared" si="720"/>
        <v>1</v>
      </c>
      <c r="AA270" s="81"/>
      <c r="AB270" s="81"/>
      <c r="AC270" s="81"/>
      <c r="AD270" s="81"/>
      <c r="AE270" s="83"/>
      <c r="AF270" s="83"/>
      <c r="AG270" s="83"/>
      <c r="AH270" s="83"/>
      <c r="AI270" s="81"/>
      <c r="AJ270" s="81"/>
      <c r="AK270" s="81"/>
      <c r="AL270" s="81"/>
      <c r="AM270" s="81"/>
      <c r="AN270" s="81"/>
      <c r="AO270" s="81"/>
      <c r="AP270" s="81"/>
      <c r="AQ270" s="81"/>
      <c r="AR270" s="81"/>
      <c r="AS270" s="81"/>
      <c r="AT270" s="81"/>
      <c r="AU270" s="81"/>
      <c r="AV270" s="81"/>
      <c r="AW270" s="81"/>
      <c r="AX270" s="81"/>
      <c r="AY270" s="81"/>
      <c r="AZ270" s="81"/>
      <c r="BA270" s="81"/>
      <c r="BB270" s="82"/>
      <c r="BC270" s="81"/>
      <c r="BD270" s="82">
        <v>4751.0200000000004</v>
      </c>
      <c r="BE270" s="81"/>
      <c r="BF270" s="81"/>
      <c r="BG270" s="81"/>
      <c r="BH270" s="81"/>
      <c r="BI270" s="81"/>
      <c r="BJ270" s="81"/>
      <c r="BK270" s="82">
        <v>0</v>
      </c>
      <c r="BL270" s="82">
        <v>0</v>
      </c>
      <c r="BM270" s="82">
        <v>4751.0200000000004</v>
      </c>
      <c r="BN270" s="81">
        <f>IF(O270-BK270&gt;0,O270-BK270,0)</f>
        <v>0</v>
      </c>
      <c r="BO270" s="75">
        <f>IF(Q270-BM270&gt;0,Q270-BM270,0)</f>
        <v>0</v>
      </c>
      <c r="BP270" s="81">
        <f>IF(BN270+BO270&gt;0,BN270+BO270,0)</f>
        <v>0</v>
      </c>
      <c r="BQ270" s="81">
        <f>IF(U270=0,0,U270)</f>
        <v>0</v>
      </c>
      <c r="BR270" s="81">
        <f>IF(W270=0,0,W270)</f>
        <v>0</v>
      </c>
      <c r="BS270" s="81">
        <f>IF(BQ270+BR270&gt;0,BQ270+BR270,0)</f>
        <v>0</v>
      </c>
      <c r="BT270" s="81">
        <f>IF(V270&gt;0,V270,0)</f>
        <v>0</v>
      </c>
      <c r="BU270" s="81">
        <f>IF(BP270=0,0,BP270)</f>
        <v>0</v>
      </c>
      <c r="BV270" s="81">
        <f>IF(BS270=0,0,BS270)</f>
        <v>0</v>
      </c>
      <c r="BW270" s="81">
        <f>IF(BP270+BT270+BV270&gt;0,BP270+BT270+BV270,0)</f>
        <v>0</v>
      </c>
      <c r="BX270" s="1"/>
      <c r="BY270" s="1"/>
      <c r="BZ270" s="1"/>
      <c r="CA270" s="1"/>
      <c r="CB270" s="1"/>
      <c r="CC270" s="1"/>
      <c r="CD270" s="1"/>
      <c r="CE270" s="1"/>
      <c r="CF270" s="1"/>
      <c r="CG270" s="1"/>
    </row>
    <row r="271" spans="1:85" ht="15.75">
      <c r="A271" s="206"/>
      <c r="B271" s="207"/>
      <c r="C271" s="208"/>
      <c r="D271" s="209" t="s">
        <v>251</v>
      </c>
      <c r="E271" s="202">
        <f t="shared" ref="E271:H271" si="1235">SUM(E272)</f>
        <v>0</v>
      </c>
      <c r="F271" s="203">
        <f t="shared" si="1235"/>
        <v>0</v>
      </c>
      <c r="G271" s="203">
        <f t="shared" si="1235"/>
        <v>0</v>
      </c>
      <c r="H271" s="203">
        <f t="shared" si="1235"/>
        <v>0</v>
      </c>
      <c r="I271" s="204">
        <f t="shared" si="723"/>
        <v>0</v>
      </c>
      <c r="J271" s="204">
        <f t="shared" si="724"/>
        <v>0</v>
      </c>
      <c r="K271" s="203">
        <f t="shared" ref="K271:W271" si="1236">SUM(K272)</f>
        <v>0</v>
      </c>
      <c r="L271" s="203">
        <f t="shared" si="1236"/>
        <v>0</v>
      </c>
      <c r="M271" s="203">
        <f t="shared" si="1236"/>
        <v>0</v>
      </c>
      <c r="N271" s="203">
        <f t="shared" si="1236"/>
        <v>7500</v>
      </c>
      <c r="O271" s="203">
        <f t="shared" si="1236"/>
        <v>0</v>
      </c>
      <c r="P271" s="203">
        <f t="shared" si="1236"/>
        <v>0</v>
      </c>
      <c r="Q271" s="203">
        <f t="shared" si="1236"/>
        <v>7500</v>
      </c>
      <c r="R271" s="203">
        <f t="shared" si="1236"/>
        <v>0</v>
      </c>
      <c r="S271" s="203">
        <f t="shared" si="1236"/>
        <v>0</v>
      </c>
      <c r="T271" s="203">
        <f t="shared" si="1236"/>
        <v>7500</v>
      </c>
      <c r="U271" s="203">
        <f t="shared" si="1236"/>
        <v>0</v>
      </c>
      <c r="V271" s="203">
        <f t="shared" si="1236"/>
        <v>0</v>
      </c>
      <c r="W271" s="203">
        <f t="shared" si="1236"/>
        <v>0</v>
      </c>
      <c r="X271" s="205">
        <f t="shared" ref="X271:Y271" si="1237">IF(O271&gt;0,O271/K271,0)</f>
        <v>0</v>
      </c>
      <c r="Y271" s="205">
        <f t="shared" si="1237"/>
        <v>0</v>
      </c>
      <c r="Z271" s="205">
        <f t="shared" si="720"/>
        <v>1</v>
      </c>
      <c r="AA271" s="203">
        <f t="shared" ref="AA271:BW271" si="1238">SUM(AA272)</f>
        <v>0</v>
      </c>
      <c r="AB271" s="203">
        <f t="shared" si="1238"/>
        <v>0</v>
      </c>
      <c r="AC271" s="203">
        <f t="shared" si="1238"/>
        <v>0</v>
      </c>
      <c r="AD271" s="203">
        <f t="shared" si="1238"/>
        <v>0</v>
      </c>
      <c r="AE271" s="203">
        <f t="shared" si="1238"/>
        <v>0</v>
      </c>
      <c r="AF271" s="203">
        <f t="shared" si="1238"/>
        <v>0</v>
      </c>
      <c r="AG271" s="203">
        <f t="shared" si="1238"/>
        <v>0</v>
      </c>
      <c r="AH271" s="203">
        <f t="shared" si="1238"/>
        <v>0</v>
      </c>
      <c r="AI271" s="203">
        <f t="shared" si="1238"/>
        <v>0</v>
      </c>
      <c r="AJ271" s="203">
        <f t="shared" si="1238"/>
        <v>0</v>
      </c>
      <c r="AK271" s="203">
        <f t="shared" si="1238"/>
        <v>0</v>
      </c>
      <c r="AL271" s="203">
        <f t="shared" si="1238"/>
        <v>0</v>
      </c>
      <c r="AM271" s="203">
        <f t="shared" si="1238"/>
        <v>0</v>
      </c>
      <c r="AN271" s="203">
        <f t="shared" si="1238"/>
        <v>0</v>
      </c>
      <c r="AO271" s="203">
        <f t="shared" si="1238"/>
        <v>0</v>
      </c>
      <c r="AP271" s="203">
        <f t="shared" si="1238"/>
        <v>0</v>
      </c>
      <c r="AQ271" s="203">
        <f t="shared" si="1238"/>
        <v>0</v>
      </c>
      <c r="AR271" s="203">
        <f t="shared" si="1238"/>
        <v>0</v>
      </c>
      <c r="AS271" s="203">
        <f t="shared" si="1238"/>
        <v>0</v>
      </c>
      <c r="AT271" s="203">
        <f t="shared" si="1238"/>
        <v>0</v>
      </c>
      <c r="AU271" s="203">
        <f t="shared" si="1238"/>
        <v>0</v>
      </c>
      <c r="AV271" s="203">
        <f t="shared" si="1238"/>
        <v>0</v>
      </c>
      <c r="AW271" s="203">
        <f t="shared" si="1238"/>
        <v>0</v>
      </c>
      <c r="AX271" s="203">
        <f t="shared" si="1238"/>
        <v>0</v>
      </c>
      <c r="AY271" s="203">
        <f t="shared" si="1238"/>
        <v>0</v>
      </c>
      <c r="AZ271" s="203">
        <f t="shared" si="1238"/>
        <v>0</v>
      </c>
      <c r="BA271" s="203">
        <f t="shared" si="1238"/>
        <v>0</v>
      </c>
      <c r="BB271" s="203">
        <f t="shared" si="1238"/>
        <v>0</v>
      </c>
      <c r="BC271" s="203">
        <f t="shared" si="1238"/>
        <v>0</v>
      </c>
      <c r="BD271" s="203">
        <f t="shared" si="1238"/>
        <v>0</v>
      </c>
      <c r="BE271" s="203">
        <f t="shared" si="1238"/>
        <v>0</v>
      </c>
      <c r="BF271" s="203">
        <f t="shared" si="1238"/>
        <v>0</v>
      </c>
      <c r="BG271" s="203">
        <f t="shared" si="1238"/>
        <v>0</v>
      </c>
      <c r="BH271" s="203">
        <f t="shared" si="1238"/>
        <v>0</v>
      </c>
      <c r="BI271" s="203">
        <f t="shared" si="1238"/>
        <v>0</v>
      </c>
      <c r="BJ271" s="203">
        <f t="shared" si="1238"/>
        <v>7500</v>
      </c>
      <c r="BK271" s="203">
        <f t="shared" si="1238"/>
        <v>0</v>
      </c>
      <c r="BL271" s="203">
        <f t="shared" si="1238"/>
        <v>0</v>
      </c>
      <c r="BM271" s="203">
        <f t="shared" si="1238"/>
        <v>7500</v>
      </c>
      <c r="BN271" s="203">
        <f t="shared" si="1238"/>
        <v>0</v>
      </c>
      <c r="BO271" s="203">
        <f t="shared" si="1238"/>
        <v>0</v>
      </c>
      <c r="BP271" s="203">
        <f t="shared" si="1238"/>
        <v>0</v>
      </c>
      <c r="BQ271" s="203">
        <f t="shared" si="1238"/>
        <v>0</v>
      </c>
      <c r="BR271" s="203">
        <f t="shared" si="1238"/>
        <v>0</v>
      </c>
      <c r="BS271" s="203">
        <f t="shared" si="1238"/>
        <v>0</v>
      </c>
      <c r="BT271" s="203">
        <f t="shared" si="1238"/>
        <v>0</v>
      </c>
      <c r="BU271" s="203">
        <f t="shared" si="1238"/>
        <v>0</v>
      </c>
      <c r="BV271" s="203">
        <f t="shared" si="1238"/>
        <v>0</v>
      </c>
      <c r="BW271" s="203">
        <f t="shared" si="1238"/>
        <v>0</v>
      </c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</row>
    <row r="272" spans="1:85" ht="15.75" customHeight="1">
      <c r="A272" s="297" t="s">
        <v>552</v>
      </c>
      <c r="B272" s="294"/>
      <c r="C272" s="129" t="s">
        <v>553</v>
      </c>
      <c r="D272" s="126" t="s">
        <v>554</v>
      </c>
      <c r="E272" s="70"/>
      <c r="F272" s="71"/>
      <c r="G272" s="71">
        <f>E272-F272</f>
        <v>0</v>
      </c>
      <c r="H272" s="196"/>
      <c r="I272" s="72">
        <f t="shared" si="723"/>
        <v>0</v>
      </c>
      <c r="J272" s="72">
        <f t="shared" si="724"/>
        <v>0</v>
      </c>
      <c r="K272" s="237"/>
      <c r="L272" s="236"/>
      <c r="M272" s="236"/>
      <c r="N272" s="299">
        <v>7500</v>
      </c>
      <c r="O272" s="77">
        <f t="shared" ref="O272:Q272" si="1239">AA272+AD272+AG272+AJ272+AM272+AP272+AS272+AV272+AY272+BB272+BE272+BH272</f>
        <v>0</v>
      </c>
      <c r="P272" s="77">
        <f t="shared" si="1239"/>
        <v>0</v>
      </c>
      <c r="Q272" s="77">
        <f t="shared" si="1239"/>
        <v>7500</v>
      </c>
      <c r="R272" s="77">
        <f t="shared" ref="R272:T272" si="1240">IF(BK272=0,SUM(AA272+AD272+AG272+AJ272+AM272+AP272+AS272+AV272+AY272+BB272+BE272+BH272),BK272)</f>
        <v>0</v>
      </c>
      <c r="S272" s="77">
        <f t="shared" si="1240"/>
        <v>0</v>
      </c>
      <c r="T272" s="77">
        <f t="shared" si="1240"/>
        <v>7500</v>
      </c>
      <c r="U272" s="79">
        <f>K272-O272</f>
        <v>0</v>
      </c>
      <c r="V272" s="79">
        <f>L272-M272-S272</f>
        <v>0</v>
      </c>
      <c r="W272" s="78">
        <f>N272-Q272</f>
        <v>0</v>
      </c>
      <c r="X272" s="80">
        <f t="shared" ref="X272:Y272" si="1241">IF(O272&gt;0,O272/K272,0)</f>
        <v>0</v>
      </c>
      <c r="Y272" s="80">
        <f t="shared" si="1241"/>
        <v>0</v>
      </c>
      <c r="Z272" s="80">
        <f t="shared" si="720"/>
        <v>1</v>
      </c>
      <c r="AA272" s="238"/>
      <c r="AB272" s="238"/>
      <c r="AC272" s="238"/>
      <c r="AD272" s="238"/>
      <c r="AE272" s="238"/>
      <c r="AF272" s="238"/>
      <c r="AG272" s="238"/>
      <c r="AH272" s="238"/>
      <c r="AI272" s="238"/>
      <c r="AJ272" s="238"/>
      <c r="AK272" s="238"/>
      <c r="AL272" s="238"/>
      <c r="AM272" s="238"/>
      <c r="AN272" s="238"/>
      <c r="AO272" s="238"/>
      <c r="AP272" s="238"/>
      <c r="AQ272" s="238"/>
      <c r="AR272" s="238"/>
      <c r="AS272" s="238"/>
      <c r="AT272" s="238"/>
      <c r="AU272" s="238"/>
      <c r="AV272" s="238"/>
      <c r="AW272" s="238"/>
      <c r="AX272" s="238"/>
      <c r="AY272" s="238"/>
      <c r="AZ272" s="238"/>
      <c r="BA272" s="238"/>
      <c r="BB272" s="238"/>
      <c r="BC272" s="238"/>
      <c r="BD272" s="238"/>
      <c r="BE272" s="238"/>
      <c r="BF272" s="238"/>
      <c r="BG272" s="238"/>
      <c r="BH272" s="238"/>
      <c r="BI272" s="238"/>
      <c r="BJ272" s="241">
        <v>7500</v>
      </c>
      <c r="BK272" s="82">
        <v>0</v>
      </c>
      <c r="BL272" s="82">
        <v>0</v>
      </c>
      <c r="BM272" s="82">
        <v>7500</v>
      </c>
      <c r="BN272" s="81">
        <f>IF(O272-BK272&gt;0,O272-BK272,0)</f>
        <v>0</v>
      </c>
      <c r="BO272" s="75">
        <f>IF(Q272-BM272&gt;0,Q272-BM272,0)</f>
        <v>0</v>
      </c>
      <c r="BP272" s="81">
        <f>IF(BN272+BO272&gt;0,BN272+BO272,0)</f>
        <v>0</v>
      </c>
      <c r="BQ272" s="81">
        <f>IF(U272=0,0,U272)</f>
        <v>0</v>
      </c>
      <c r="BR272" s="81">
        <f>IF(W272=0,0,W272)</f>
        <v>0</v>
      </c>
      <c r="BS272" s="81">
        <f>IF(BQ272+BR272&gt;0,BQ272+BR272,0)</f>
        <v>0</v>
      </c>
      <c r="BT272" s="81">
        <f>IF(V272&gt;0,V272,0)</f>
        <v>0</v>
      </c>
      <c r="BU272" s="81">
        <f>IF(BP272=0,0,BP272)</f>
        <v>0</v>
      </c>
      <c r="BV272" s="81">
        <f>IF(BS272=0,0,BS272)</f>
        <v>0</v>
      </c>
      <c r="BW272" s="81">
        <f>IF(BP272+BT272+BV272&gt;0,BP272+BT272+BV272,0)</f>
        <v>0</v>
      </c>
      <c r="BX272" s="1"/>
      <c r="BY272" s="1"/>
      <c r="BZ272" s="1"/>
      <c r="CA272" s="1"/>
      <c r="CB272" s="1"/>
      <c r="CC272" s="1"/>
      <c r="CD272" s="1"/>
      <c r="CE272" s="1"/>
      <c r="CF272" s="1"/>
      <c r="CG272" s="1"/>
    </row>
    <row r="273" spans="1:85" ht="15.75">
      <c r="A273" s="206"/>
      <c r="B273" s="207"/>
      <c r="C273" s="208"/>
      <c r="D273" s="209" t="s">
        <v>365</v>
      </c>
      <c r="E273" s="202">
        <f t="shared" ref="E273:H273" si="1242">SUM(E274:E278)</f>
        <v>0</v>
      </c>
      <c r="F273" s="203">
        <f t="shared" si="1242"/>
        <v>0</v>
      </c>
      <c r="G273" s="203">
        <f t="shared" si="1242"/>
        <v>0</v>
      </c>
      <c r="H273" s="203">
        <f t="shared" si="1242"/>
        <v>0</v>
      </c>
      <c r="I273" s="204">
        <f t="shared" si="723"/>
        <v>0</v>
      </c>
      <c r="J273" s="204">
        <f t="shared" si="724"/>
        <v>0</v>
      </c>
      <c r="K273" s="203">
        <f t="shared" ref="K273:W273" si="1243">SUM(K274:K278)</f>
        <v>0</v>
      </c>
      <c r="L273" s="203">
        <f t="shared" si="1243"/>
        <v>31797</v>
      </c>
      <c r="M273" s="203">
        <f t="shared" si="1243"/>
        <v>648.74</v>
      </c>
      <c r="N273" s="203">
        <f t="shared" si="1243"/>
        <v>72892</v>
      </c>
      <c r="O273" s="203">
        <f t="shared" si="1243"/>
        <v>0</v>
      </c>
      <c r="P273" s="203">
        <f t="shared" si="1243"/>
        <v>31148.26</v>
      </c>
      <c r="Q273" s="203">
        <f t="shared" si="1243"/>
        <v>61432</v>
      </c>
      <c r="R273" s="203">
        <f t="shared" si="1243"/>
        <v>0</v>
      </c>
      <c r="S273" s="203">
        <f t="shared" si="1243"/>
        <v>31148.26</v>
      </c>
      <c r="T273" s="203">
        <f t="shared" si="1243"/>
        <v>61432</v>
      </c>
      <c r="U273" s="203">
        <f t="shared" si="1243"/>
        <v>0</v>
      </c>
      <c r="V273" s="203">
        <f t="shared" si="1243"/>
        <v>0</v>
      </c>
      <c r="W273" s="203">
        <f t="shared" si="1243"/>
        <v>11460</v>
      </c>
      <c r="X273" s="205">
        <f t="shared" ref="X273:Y273" si="1244">IF(O273&gt;0,O273/K273,0)</f>
        <v>0</v>
      </c>
      <c r="Y273" s="205">
        <f t="shared" si="1244"/>
        <v>0.97959744629996537</v>
      </c>
      <c r="Z273" s="205">
        <f t="shared" si="720"/>
        <v>0.8427811008066729</v>
      </c>
      <c r="AA273" s="203">
        <f t="shared" ref="AA273:BW273" si="1245">SUM(AA274:AA278)</f>
        <v>0</v>
      </c>
      <c r="AB273" s="203">
        <f t="shared" si="1245"/>
        <v>0</v>
      </c>
      <c r="AC273" s="203">
        <f t="shared" si="1245"/>
        <v>0</v>
      </c>
      <c r="AD273" s="203">
        <f t="shared" si="1245"/>
        <v>0</v>
      </c>
      <c r="AE273" s="203">
        <f t="shared" si="1245"/>
        <v>0</v>
      </c>
      <c r="AF273" s="203">
        <f t="shared" si="1245"/>
        <v>0</v>
      </c>
      <c r="AG273" s="203">
        <f t="shared" si="1245"/>
        <v>0</v>
      </c>
      <c r="AH273" s="203">
        <f t="shared" si="1245"/>
        <v>31148.26</v>
      </c>
      <c r="AI273" s="203">
        <f t="shared" si="1245"/>
        <v>0</v>
      </c>
      <c r="AJ273" s="203">
        <f t="shared" si="1245"/>
        <v>0</v>
      </c>
      <c r="AK273" s="203">
        <f t="shared" si="1245"/>
        <v>0</v>
      </c>
      <c r="AL273" s="203">
        <f t="shared" si="1245"/>
        <v>0</v>
      </c>
      <c r="AM273" s="203">
        <f t="shared" si="1245"/>
        <v>0</v>
      </c>
      <c r="AN273" s="203">
        <f t="shared" si="1245"/>
        <v>0</v>
      </c>
      <c r="AO273" s="203">
        <f t="shared" si="1245"/>
        <v>0</v>
      </c>
      <c r="AP273" s="203">
        <f t="shared" si="1245"/>
        <v>0</v>
      </c>
      <c r="AQ273" s="203">
        <f t="shared" si="1245"/>
        <v>0</v>
      </c>
      <c r="AR273" s="203">
        <f t="shared" si="1245"/>
        <v>0</v>
      </c>
      <c r="AS273" s="203">
        <f t="shared" si="1245"/>
        <v>0</v>
      </c>
      <c r="AT273" s="203">
        <f t="shared" si="1245"/>
        <v>0</v>
      </c>
      <c r="AU273" s="203">
        <f t="shared" si="1245"/>
        <v>44500</v>
      </c>
      <c r="AV273" s="203">
        <f t="shared" si="1245"/>
        <v>0</v>
      </c>
      <c r="AW273" s="203">
        <f t="shared" si="1245"/>
        <v>0</v>
      </c>
      <c r="AX273" s="203">
        <f t="shared" si="1245"/>
        <v>11932</v>
      </c>
      <c r="AY273" s="203">
        <f t="shared" si="1245"/>
        <v>0</v>
      </c>
      <c r="AZ273" s="203">
        <f t="shared" si="1245"/>
        <v>0</v>
      </c>
      <c r="BA273" s="203">
        <f t="shared" si="1245"/>
        <v>0</v>
      </c>
      <c r="BB273" s="203">
        <f t="shared" si="1245"/>
        <v>0</v>
      </c>
      <c r="BC273" s="203">
        <f t="shared" si="1245"/>
        <v>0</v>
      </c>
      <c r="BD273" s="203">
        <f t="shared" si="1245"/>
        <v>0</v>
      </c>
      <c r="BE273" s="203">
        <f t="shared" si="1245"/>
        <v>0</v>
      </c>
      <c r="BF273" s="203">
        <f t="shared" si="1245"/>
        <v>0</v>
      </c>
      <c r="BG273" s="203">
        <f t="shared" si="1245"/>
        <v>5000</v>
      </c>
      <c r="BH273" s="203">
        <f t="shared" si="1245"/>
        <v>0</v>
      </c>
      <c r="BI273" s="203">
        <f t="shared" si="1245"/>
        <v>0</v>
      </c>
      <c r="BJ273" s="203">
        <f t="shared" si="1245"/>
        <v>0</v>
      </c>
      <c r="BK273" s="203">
        <f t="shared" si="1245"/>
        <v>0</v>
      </c>
      <c r="BL273" s="203">
        <f t="shared" si="1245"/>
        <v>31148.26</v>
      </c>
      <c r="BM273" s="203">
        <f t="shared" si="1245"/>
        <v>61432</v>
      </c>
      <c r="BN273" s="203">
        <f t="shared" si="1245"/>
        <v>0</v>
      </c>
      <c r="BO273" s="203">
        <f t="shared" si="1245"/>
        <v>0</v>
      </c>
      <c r="BP273" s="203">
        <f t="shared" si="1245"/>
        <v>0</v>
      </c>
      <c r="BQ273" s="203">
        <f t="shared" si="1245"/>
        <v>0</v>
      </c>
      <c r="BR273" s="203">
        <f t="shared" si="1245"/>
        <v>11460</v>
      </c>
      <c r="BS273" s="203">
        <f t="shared" si="1245"/>
        <v>11460</v>
      </c>
      <c r="BT273" s="203">
        <f t="shared" si="1245"/>
        <v>0</v>
      </c>
      <c r="BU273" s="203">
        <f t="shared" si="1245"/>
        <v>0</v>
      </c>
      <c r="BV273" s="203">
        <f t="shared" si="1245"/>
        <v>11460</v>
      </c>
      <c r="BW273" s="203">
        <f t="shared" si="1245"/>
        <v>11460</v>
      </c>
      <c r="BX273" s="65"/>
      <c r="BY273" s="65"/>
      <c r="BZ273" s="65"/>
      <c r="CA273" s="65"/>
      <c r="CB273" s="65"/>
      <c r="CC273" s="65"/>
      <c r="CD273" s="65"/>
      <c r="CE273" s="65"/>
      <c r="CF273" s="65"/>
      <c r="CG273" s="65"/>
    </row>
    <row r="274" spans="1:85" ht="15.75" customHeight="1">
      <c r="A274" s="134" t="s">
        <v>555</v>
      </c>
      <c r="B274" s="239" t="s">
        <v>556</v>
      </c>
      <c r="C274" s="86" t="s">
        <v>435</v>
      </c>
      <c r="D274" s="244" t="s">
        <v>557</v>
      </c>
      <c r="E274" s="70"/>
      <c r="F274" s="71"/>
      <c r="G274" s="71">
        <f t="shared" ref="G274:G276" si="1246">E274-F274</f>
        <v>0</v>
      </c>
      <c r="H274" s="196"/>
      <c r="I274" s="72">
        <f t="shared" si="723"/>
        <v>0</v>
      </c>
      <c r="J274" s="72">
        <f t="shared" si="724"/>
        <v>0</v>
      </c>
      <c r="K274" s="301"/>
      <c r="L274" s="236">
        <v>31797</v>
      </c>
      <c r="M274" s="241">
        <v>648.74</v>
      </c>
      <c r="N274" s="299">
        <v>44500</v>
      </c>
      <c r="O274" s="77">
        <f t="shared" ref="O274:Q274" si="1247">AA274+AD274+AG274+AJ274+AM274+AP274+AS274+AV274+AY274+BB274+BE274+BH274</f>
        <v>0</v>
      </c>
      <c r="P274" s="77">
        <f t="shared" si="1247"/>
        <v>31148.26</v>
      </c>
      <c r="Q274" s="77">
        <f t="shared" si="1247"/>
        <v>44500</v>
      </c>
      <c r="R274" s="77">
        <f t="shared" ref="R274:T274" si="1248">IF(BK274=0,SUM(AA274+AD274+AG274+AJ274+AM274+AP274+AS274+AV274+AY274+BB274+BE274+BH274),BK274)</f>
        <v>0</v>
      </c>
      <c r="S274" s="77">
        <f t="shared" si="1248"/>
        <v>31148.26</v>
      </c>
      <c r="T274" s="77">
        <f t="shared" si="1248"/>
        <v>44500</v>
      </c>
      <c r="U274" s="78">
        <f t="shared" ref="U274:U278" si="1249">K274-O274</f>
        <v>0</v>
      </c>
      <c r="V274" s="79">
        <f t="shared" ref="V274:V278" si="1250">L274-M274-S274</f>
        <v>0</v>
      </c>
      <c r="W274" s="79">
        <f t="shared" ref="W274:W278" si="1251">N274-Q274</f>
        <v>0</v>
      </c>
      <c r="X274" s="80">
        <f t="shared" ref="X274:Y274" si="1252">IF(O274&gt;0,O274/K274,0)</f>
        <v>0</v>
      </c>
      <c r="Y274" s="80">
        <f t="shared" si="1252"/>
        <v>0.97959744629996537</v>
      </c>
      <c r="Z274" s="80">
        <f t="shared" si="720"/>
        <v>1</v>
      </c>
      <c r="AA274" s="238"/>
      <c r="AB274" s="238"/>
      <c r="AC274" s="238"/>
      <c r="AD274" s="238"/>
      <c r="AE274" s="238"/>
      <c r="AF274" s="238"/>
      <c r="AG274" s="238"/>
      <c r="AH274" s="241">
        <v>31148.26</v>
      </c>
      <c r="AI274" s="300"/>
      <c r="AJ274" s="238"/>
      <c r="AK274" s="238"/>
      <c r="AL274" s="238"/>
      <c r="AM274" s="238"/>
      <c r="AN274" s="238"/>
      <c r="AO274" s="238"/>
      <c r="AP274" s="238"/>
      <c r="AQ274" s="238"/>
      <c r="AR274" s="238"/>
      <c r="AS274" s="300"/>
      <c r="AT274" s="238"/>
      <c r="AU274" s="241">
        <v>44500</v>
      </c>
      <c r="AV274" s="238"/>
      <c r="AW274" s="238"/>
      <c r="AX274" s="238"/>
      <c r="AY274" s="238"/>
      <c r="AZ274" s="238"/>
      <c r="BA274" s="238"/>
      <c r="BB274" s="238"/>
      <c r="BC274" s="238"/>
      <c r="BD274" s="238"/>
      <c r="BE274" s="238"/>
      <c r="BF274" s="238"/>
      <c r="BG274" s="238"/>
      <c r="BH274" s="238"/>
      <c r="BI274" s="238"/>
      <c r="BJ274" s="238"/>
      <c r="BK274" s="82">
        <v>0</v>
      </c>
      <c r="BL274" s="82">
        <v>31148.26</v>
      </c>
      <c r="BM274" s="82">
        <v>44500</v>
      </c>
      <c r="BN274" s="81">
        <f t="shared" ref="BN274:BN278" si="1253">IF(O274-BK274&gt;0,O274-BK274,0)</f>
        <v>0</v>
      </c>
      <c r="BO274" s="75">
        <f t="shared" ref="BO274:BO278" si="1254">IF(Q274-BM274&gt;0,Q274-BM274,0)</f>
        <v>0</v>
      </c>
      <c r="BP274" s="81">
        <f t="shared" ref="BP274:BP278" si="1255">IF(BN274+BO274&gt;0,BN274+BO274,0)</f>
        <v>0</v>
      </c>
      <c r="BQ274" s="81">
        <f t="shared" ref="BQ274:BQ278" si="1256">IF(U274=0,0,U274)</f>
        <v>0</v>
      </c>
      <c r="BR274" s="81">
        <f t="shared" ref="BR274:BR278" si="1257">IF(W274=0,0,W274)</f>
        <v>0</v>
      </c>
      <c r="BS274" s="81">
        <f t="shared" ref="BS274:BS278" si="1258">IF(BQ274+BR274&gt;0,BQ274+BR274,0)</f>
        <v>0</v>
      </c>
      <c r="BT274" s="81">
        <f t="shared" ref="BT274:BT278" si="1259">IF(V274&gt;0,V274,0)</f>
        <v>0</v>
      </c>
      <c r="BU274" s="81">
        <f t="shared" ref="BU274:BU278" si="1260">IF(BP274=0,0,BP274)</f>
        <v>0</v>
      </c>
      <c r="BV274" s="81">
        <f t="shared" ref="BV274:BV278" si="1261">IF(BS274=0,0,BS274)</f>
        <v>0</v>
      </c>
      <c r="BW274" s="81">
        <f t="shared" ref="BW274:BW278" si="1262">IF(BP274+BT274+BV274&gt;0,BP274+BT274+BV274,0)</f>
        <v>0</v>
      </c>
      <c r="BX274" s="1"/>
      <c r="BY274" s="1"/>
      <c r="BZ274" s="1"/>
      <c r="CA274" s="1"/>
      <c r="CB274" s="1"/>
      <c r="CC274" s="1"/>
      <c r="CD274" s="1"/>
      <c r="CE274" s="1"/>
      <c r="CF274" s="1"/>
      <c r="CG274" s="1"/>
    </row>
    <row r="275" spans="1:85" ht="15.75" customHeight="1">
      <c r="A275" s="302" t="s">
        <v>558</v>
      </c>
      <c r="B275" s="303"/>
      <c r="C275" s="68" t="s">
        <v>430</v>
      </c>
      <c r="D275" s="304" t="s">
        <v>559</v>
      </c>
      <c r="E275" s="70"/>
      <c r="F275" s="71"/>
      <c r="G275" s="71">
        <f t="shared" si="1246"/>
        <v>0</v>
      </c>
      <c r="H275" s="70"/>
      <c r="I275" s="72">
        <f t="shared" si="723"/>
        <v>0</v>
      </c>
      <c r="J275" s="72">
        <f t="shared" si="724"/>
        <v>0</v>
      </c>
      <c r="K275" s="301"/>
      <c r="L275" s="236"/>
      <c r="M275" s="236"/>
      <c r="N275" s="299">
        <v>11932</v>
      </c>
      <c r="O275" s="77">
        <f t="shared" ref="O275:Q275" si="1263">AA275+AD275+AG275+AJ275+AM275+AP275+AS275+AV275+AY275+BB275+BE275+BH275</f>
        <v>0</v>
      </c>
      <c r="P275" s="77">
        <f t="shared" si="1263"/>
        <v>0</v>
      </c>
      <c r="Q275" s="77">
        <f t="shared" si="1263"/>
        <v>11932</v>
      </c>
      <c r="R275" s="77">
        <f t="shared" ref="R275:T275" si="1264">IF(BK275=0,SUM(AA275+AD275+AG275+AJ275+AM275+AP275+AS275+AV275+AY275+BB275+BE275+BH275),BK275)</f>
        <v>0</v>
      </c>
      <c r="S275" s="77">
        <f t="shared" si="1264"/>
        <v>0</v>
      </c>
      <c r="T275" s="77">
        <f t="shared" si="1264"/>
        <v>11932</v>
      </c>
      <c r="U275" s="78">
        <f t="shared" si="1249"/>
        <v>0</v>
      </c>
      <c r="V275" s="79">
        <f t="shared" si="1250"/>
        <v>0</v>
      </c>
      <c r="W275" s="79">
        <f t="shared" si="1251"/>
        <v>0</v>
      </c>
      <c r="X275" s="80">
        <f t="shared" ref="X275:Y275" si="1265">IF(O275&gt;0,O275/K275,0)</f>
        <v>0</v>
      </c>
      <c r="Y275" s="80">
        <f t="shared" si="1265"/>
        <v>0</v>
      </c>
      <c r="Z275" s="80">
        <f t="shared" si="720"/>
        <v>1</v>
      </c>
      <c r="AA275" s="238"/>
      <c r="AB275" s="238"/>
      <c r="AC275" s="238"/>
      <c r="AD275" s="238"/>
      <c r="AE275" s="238"/>
      <c r="AF275" s="238"/>
      <c r="AG275" s="238"/>
      <c r="AH275" s="238"/>
      <c r="AI275" s="238"/>
      <c r="AJ275" s="238"/>
      <c r="AK275" s="238"/>
      <c r="AL275" s="238"/>
      <c r="AM275" s="238"/>
      <c r="AN275" s="238"/>
      <c r="AO275" s="238"/>
      <c r="AP275" s="238"/>
      <c r="AQ275" s="238"/>
      <c r="AR275" s="238"/>
      <c r="AS275" s="238"/>
      <c r="AT275" s="238"/>
      <c r="AU275" s="238"/>
      <c r="AV275" s="241"/>
      <c r="AW275" s="238"/>
      <c r="AX275" s="300">
        <v>11932</v>
      </c>
      <c r="AY275" s="238"/>
      <c r="AZ275" s="238"/>
      <c r="BA275" s="238"/>
      <c r="BB275" s="238"/>
      <c r="BC275" s="238"/>
      <c r="BD275" s="238"/>
      <c r="BE275" s="238"/>
      <c r="BF275" s="238"/>
      <c r="BG275" s="238"/>
      <c r="BH275" s="238"/>
      <c r="BI275" s="238"/>
      <c r="BJ275" s="238"/>
      <c r="BK275" s="82">
        <v>0</v>
      </c>
      <c r="BL275" s="82">
        <v>0</v>
      </c>
      <c r="BM275" s="82">
        <v>11932</v>
      </c>
      <c r="BN275" s="81">
        <f t="shared" si="1253"/>
        <v>0</v>
      </c>
      <c r="BO275" s="75">
        <f t="shared" si="1254"/>
        <v>0</v>
      </c>
      <c r="BP275" s="81">
        <f t="shared" si="1255"/>
        <v>0</v>
      </c>
      <c r="BQ275" s="81">
        <f t="shared" si="1256"/>
        <v>0</v>
      </c>
      <c r="BR275" s="81">
        <f t="shared" si="1257"/>
        <v>0</v>
      </c>
      <c r="BS275" s="81">
        <f t="shared" si="1258"/>
        <v>0</v>
      </c>
      <c r="BT275" s="81">
        <f t="shared" si="1259"/>
        <v>0</v>
      </c>
      <c r="BU275" s="81">
        <f t="shared" si="1260"/>
        <v>0</v>
      </c>
      <c r="BV275" s="81">
        <f t="shared" si="1261"/>
        <v>0</v>
      </c>
      <c r="BW275" s="81">
        <f t="shared" si="1262"/>
        <v>0</v>
      </c>
      <c r="BX275" s="1"/>
      <c r="BY275" s="1"/>
      <c r="BZ275" s="1"/>
      <c r="CA275" s="1"/>
      <c r="CB275" s="1"/>
      <c r="CC275" s="1"/>
      <c r="CD275" s="1"/>
      <c r="CE275" s="1"/>
      <c r="CF275" s="1"/>
      <c r="CG275" s="1"/>
    </row>
    <row r="276" spans="1:85" ht="15.75" customHeight="1">
      <c r="A276" s="134" t="s">
        <v>560</v>
      </c>
      <c r="B276" s="243"/>
      <c r="C276" s="129" t="s">
        <v>561</v>
      </c>
      <c r="D276" s="305" t="s">
        <v>562</v>
      </c>
      <c r="E276" s="70"/>
      <c r="F276" s="71"/>
      <c r="G276" s="71">
        <f t="shared" si="1246"/>
        <v>0</v>
      </c>
      <c r="H276" s="196"/>
      <c r="I276" s="72">
        <f t="shared" si="723"/>
        <v>0</v>
      </c>
      <c r="J276" s="72">
        <f t="shared" si="724"/>
        <v>0</v>
      </c>
      <c r="K276" s="306"/>
      <c r="L276" s="83"/>
      <c r="M276" s="83"/>
      <c r="N276" s="245">
        <v>5000</v>
      </c>
      <c r="O276" s="77">
        <f t="shared" ref="O276:Q276" si="1266">AA276+AD276+AG276+AJ276+AM276+AP276+AS276+AV276+AY276+BB276+BE276+BH276</f>
        <v>0</v>
      </c>
      <c r="P276" s="77">
        <f t="shared" si="1266"/>
        <v>0</v>
      </c>
      <c r="Q276" s="77">
        <f t="shared" si="1266"/>
        <v>5000</v>
      </c>
      <c r="R276" s="77">
        <f t="shared" ref="R276:T276" si="1267">IF(BK276=0,SUM(AA276+AD276+AG276+AJ276+AM276+AP276+AS276+AV276+AY276+BB276+BE276+BH276),BK276)</f>
        <v>0</v>
      </c>
      <c r="S276" s="77">
        <f t="shared" si="1267"/>
        <v>0</v>
      </c>
      <c r="T276" s="77">
        <f t="shared" si="1267"/>
        <v>5000</v>
      </c>
      <c r="U276" s="78">
        <f t="shared" si="1249"/>
        <v>0</v>
      </c>
      <c r="V276" s="79">
        <f t="shared" si="1250"/>
        <v>0</v>
      </c>
      <c r="W276" s="79">
        <f t="shared" si="1251"/>
        <v>0</v>
      </c>
      <c r="X276" s="80">
        <f t="shared" ref="X276:Y276" si="1268">IF(O276&gt;0,O276/K276,0)</f>
        <v>0</v>
      </c>
      <c r="Y276" s="80">
        <f t="shared" si="1268"/>
        <v>0</v>
      </c>
      <c r="Z276" s="80">
        <f t="shared" si="720"/>
        <v>1</v>
      </c>
      <c r="AA276" s="83"/>
      <c r="AB276" s="83"/>
      <c r="AC276" s="83"/>
      <c r="AD276" s="83"/>
      <c r="AE276" s="128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128"/>
      <c r="BF276" s="83"/>
      <c r="BG276" s="128">
        <v>5000</v>
      </c>
      <c r="BH276" s="246"/>
      <c r="BI276" s="83"/>
      <c r="BJ276" s="83"/>
      <c r="BK276" s="82">
        <v>0</v>
      </c>
      <c r="BL276" s="82">
        <v>0</v>
      </c>
      <c r="BM276" s="82">
        <v>5000</v>
      </c>
      <c r="BN276" s="81">
        <f t="shared" si="1253"/>
        <v>0</v>
      </c>
      <c r="BO276" s="75">
        <f t="shared" si="1254"/>
        <v>0</v>
      </c>
      <c r="BP276" s="81">
        <f t="shared" si="1255"/>
        <v>0</v>
      </c>
      <c r="BQ276" s="81">
        <f t="shared" si="1256"/>
        <v>0</v>
      </c>
      <c r="BR276" s="81">
        <f t="shared" si="1257"/>
        <v>0</v>
      </c>
      <c r="BS276" s="81">
        <f t="shared" si="1258"/>
        <v>0</v>
      </c>
      <c r="BT276" s="81">
        <f t="shared" si="1259"/>
        <v>0</v>
      </c>
      <c r="BU276" s="81">
        <f t="shared" si="1260"/>
        <v>0</v>
      </c>
      <c r="BV276" s="81">
        <f t="shared" si="1261"/>
        <v>0</v>
      </c>
      <c r="BW276" s="81">
        <f t="shared" si="1262"/>
        <v>0</v>
      </c>
      <c r="BX276" s="1"/>
      <c r="BY276" s="1"/>
      <c r="BZ276" s="1"/>
      <c r="CA276" s="1"/>
      <c r="CB276" s="1"/>
      <c r="CC276" s="1"/>
      <c r="CD276" s="1"/>
      <c r="CE276" s="1"/>
      <c r="CF276" s="1"/>
      <c r="CG276" s="1"/>
    </row>
    <row r="277" spans="1:85" ht="15.75" customHeight="1">
      <c r="A277" s="134" t="s">
        <v>563</v>
      </c>
      <c r="B277" s="239"/>
      <c r="C277" s="129" t="s">
        <v>367</v>
      </c>
      <c r="D277" s="244" t="s">
        <v>564</v>
      </c>
      <c r="E277" s="70"/>
      <c r="F277" s="71"/>
      <c r="G277" s="93">
        <v>0</v>
      </c>
      <c r="H277" s="196"/>
      <c r="I277" s="72">
        <f t="shared" si="723"/>
        <v>0</v>
      </c>
      <c r="J277" s="72">
        <f t="shared" si="724"/>
        <v>0</v>
      </c>
      <c r="K277" s="237"/>
      <c r="L277" s="236"/>
      <c r="M277" s="236"/>
      <c r="N277" s="299">
        <v>5070</v>
      </c>
      <c r="O277" s="77">
        <f t="shared" ref="O277:Q277" si="1269">AA277+AD277+AG277+AJ277+AM277+AP277+AS277+AV277+AY277+BB277+BE277+BH277</f>
        <v>0</v>
      </c>
      <c r="P277" s="77">
        <f t="shared" si="1269"/>
        <v>0</v>
      </c>
      <c r="Q277" s="77">
        <f t="shared" si="1269"/>
        <v>0</v>
      </c>
      <c r="R277" s="77">
        <f t="shared" ref="R277:T277" si="1270">IF(BK277=0,SUM(AA277+AD277+AG277+AJ277+AM277+AP277+AS277+AV277+AY277+BB277+BE277+BH277),BK277)</f>
        <v>0</v>
      </c>
      <c r="S277" s="77">
        <f t="shared" si="1270"/>
        <v>0</v>
      </c>
      <c r="T277" s="77">
        <f t="shared" si="1270"/>
        <v>0</v>
      </c>
      <c r="U277" s="79">
        <f t="shared" si="1249"/>
        <v>0</v>
      </c>
      <c r="V277" s="79">
        <f t="shared" si="1250"/>
        <v>0</v>
      </c>
      <c r="W277" s="78">
        <f t="shared" si="1251"/>
        <v>5070</v>
      </c>
      <c r="X277" s="80">
        <f t="shared" ref="X277:Y277" si="1271">IF(O277&gt;0,O277/K277,0)</f>
        <v>0</v>
      </c>
      <c r="Y277" s="80">
        <f t="shared" si="1271"/>
        <v>0</v>
      </c>
      <c r="Z277" s="80">
        <f t="shared" si="720"/>
        <v>0</v>
      </c>
      <c r="AA277" s="238"/>
      <c r="AB277" s="238"/>
      <c r="AC277" s="238"/>
      <c r="AD277" s="238"/>
      <c r="AE277" s="238"/>
      <c r="AF277" s="238"/>
      <c r="AG277" s="238"/>
      <c r="AH277" s="238"/>
      <c r="AI277" s="238"/>
      <c r="AJ277" s="238"/>
      <c r="AK277" s="238"/>
      <c r="AL277" s="238"/>
      <c r="AM277" s="238"/>
      <c r="AN277" s="238"/>
      <c r="AO277" s="238"/>
      <c r="AP277" s="238"/>
      <c r="AQ277" s="238"/>
      <c r="AR277" s="238"/>
      <c r="AS277" s="238"/>
      <c r="AT277" s="238"/>
      <c r="AU277" s="238"/>
      <c r="AV277" s="238"/>
      <c r="AW277" s="238"/>
      <c r="AX277" s="238"/>
      <c r="AY277" s="238"/>
      <c r="AZ277" s="238"/>
      <c r="BA277" s="238"/>
      <c r="BB277" s="238"/>
      <c r="BC277" s="238"/>
      <c r="BD277" s="238"/>
      <c r="BE277" s="238"/>
      <c r="BF277" s="238"/>
      <c r="BG277" s="238"/>
      <c r="BH277" s="238"/>
      <c r="BI277" s="238"/>
      <c r="BJ277" s="238"/>
      <c r="BK277" s="82">
        <v>0</v>
      </c>
      <c r="BL277" s="82">
        <v>0</v>
      </c>
      <c r="BM277" s="82">
        <v>0</v>
      </c>
      <c r="BN277" s="81">
        <f t="shared" si="1253"/>
        <v>0</v>
      </c>
      <c r="BO277" s="75">
        <f t="shared" si="1254"/>
        <v>0</v>
      </c>
      <c r="BP277" s="81">
        <f t="shared" si="1255"/>
        <v>0</v>
      </c>
      <c r="BQ277" s="81">
        <f t="shared" si="1256"/>
        <v>0</v>
      </c>
      <c r="BR277" s="81">
        <f t="shared" si="1257"/>
        <v>5070</v>
      </c>
      <c r="BS277" s="81">
        <f t="shared" si="1258"/>
        <v>5070</v>
      </c>
      <c r="BT277" s="81">
        <f t="shared" si="1259"/>
        <v>0</v>
      </c>
      <c r="BU277" s="81">
        <f t="shared" si="1260"/>
        <v>0</v>
      </c>
      <c r="BV277" s="81">
        <f t="shared" si="1261"/>
        <v>5070</v>
      </c>
      <c r="BW277" s="81">
        <f t="shared" si="1262"/>
        <v>5070</v>
      </c>
      <c r="BX277" s="1"/>
      <c r="BY277" s="1"/>
      <c r="BZ277" s="1"/>
      <c r="CA277" s="1"/>
      <c r="CB277" s="1"/>
      <c r="CC277" s="1"/>
      <c r="CD277" s="1"/>
      <c r="CE277" s="1"/>
      <c r="CF277" s="1"/>
      <c r="CG277" s="1"/>
    </row>
    <row r="278" spans="1:85" ht="15.75" customHeight="1">
      <c r="A278" s="134" t="s">
        <v>565</v>
      </c>
      <c r="B278" s="239"/>
      <c r="C278" s="129" t="s">
        <v>367</v>
      </c>
      <c r="D278" s="244" t="s">
        <v>566</v>
      </c>
      <c r="E278" s="70"/>
      <c r="F278" s="71"/>
      <c r="G278" s="93">
        <v>0</v>
      </c>
      <c r="H278" s="196"/>
      <c r="I278" s="72">
        <f t="shared" si="723"/>
        <v>0</v>
      </c>
      <c r="J278" s="72">
        <f t="shared" si="724"/>
        <v>0</v>
      </c>
      <c r="K278" s="237"/>
      <c r="L278" s="236"/>
      <c r="M278" s="236"/>
      <c r="N278" s="299">
        <v>6390</v>
      </c>
      <c r="O278" s="77">
        <f t="shared" ref="O278:Q278" si="1272">AA278+AD278+AG278+AJ278+AM278+AP278+AS278+AV278+AY278+BB278+BE278+BH278</f>
        <v>0</v>
      </c>
      <c r="P278" s="77">
        <f t="shared" si="1272"/>
        <v>0</v>
      </c>
      <c r="Q278" s="77">
        <f t="shared" si="1272"/>
        <v>0</v>
      </c>
      <c r="R278" s="77">
        <f t="shared" ref="R278:T278" si="1273">IF(BK278=0,SUM(AA278+AD278+AG278+AJ278+AM278+AP278+AS278+AV278+AY278+BB278+BE278+BH278),BK278)</f>
        <v>0</v>
      </c>
      <c r="S278" s="77">
        <f t="shared" si="1273"/>
        <v>0</v>
      </c>
      <c r="T278" s="77">
        <f t="shared" si="1273"/>
        <v>0</v>
      </c>
      <c r="U278" s="79">
        <f t="shared" si="1249"/>
        <v>0</v>
      </c>
      <c r="V278" s="79">
        <f t="shared" si="1250"/>
        <v>0</v>
      </c>
      <c r="W278" s="78">
        <f t="shared" si="1251"/>
        <v>6390</v>
      </c>
      <c r="X278" s="80">
        <f t="shared" ref="X278:Y278" si="1274">IF(O278&gt;0,O278/K278,0)</f>
        <v>0</v>
      </c>
      <c r="Y278" s="80">
        <f t="shared" si="1274"/>
        <v>0</v>
      </c>
      <c r="Z278" s="80">
        <f t="shared" si="720"/>
        <v>0</v>
      </c>
      <c r="AA278" s="238"/>
      <c r="AB278" s="238"/>
      <c r="AC278" s="238"/>
      <c r="AD278" s="238"/>
      <c r="AE278" s="238"/>
      <c r="AF278" s="238"/>
      <c r="AG278" s="238"/>
      <c r="AH278" s="238"/>
      <c r="AI278" s="238"/>
      <c r="AJ278" s="238"/>
      <c r="AK278" s="238"/>
      <c r="AL278" s="238"/>
      <c r="AM278" s="238"/>
      <c r="AN278" s="238"/>
      <c r="AO278" s="238"/>
      <c r="AP278" s="238"/>
      <c r="AQ278" s="238"/>
      <c r="AR278" s="238"/>
      <c r="AS278" s="238"/>
      <c r="AT278" s="238"/>
      <c r="AU278" s="238"/>
      <c r="AV278" s="238"/>
      <c r="AW278" s="238"/>
      <c r="AX278" s="238"/>
      <c r="AY278" s="238"/>
      <c r="AZ278" s="238"/>
      <c r="BA278" s="238"/>
      <c r="BB278" s="238"/>
      <c r="BC278" s="238"/>
      <c r="BD278" s="238"/>
      <c r="BE278" s="238"/>
      <c r="BF278" s="238"/>
      <c r="BG278" s="238"/>
      <c r="BH278" s="238"/>
      <c r="BI278" s="238"/>
      <c r="BJ278" s="238"/>
      <c r="BK278" s="82">
        <v>0</v>
      </c>
      <c r="BL278" s="82">
        <v>0</v>
      </c>
      <c r="BM278" s="82">
        <v>0</v>
      </c>
      <c r="BN278" s="81">
        <f t="shared" si="1253"/>
        <v>0</v>
      </c>
      <c r="BO278" s="75">
        <f t="shared" si="1254"/>
        <v>0</v>
      </c>
      <c r="BP278" s="81">
        <f t="shared" si="1255"/>
        <v>0</v>
      </c>
      <c r="BQ278" s="81">
        <f t="shared" si="1256"/>
        <v>0</v>
      </c>
      <c r="BR278" s="81">
        <f t="shared" si="1257"/>
        <v>6390</v>
      </c>
      <c r="BS278" s="81">
        <f t="shared" si="1258"/>
        <v>6390</v>
      </c>
      <c r="BT278" s="81">
        <f t="shared" si="1259"/>
        <v>0</v>
      </c>
      <c r="BU278" s="81">
        <f t="shared" si="1260"/>
        <v>0</v>
      </c>
      <c r="BV278" s="81">
        <f t="shared" si="1261"/>
        <v>6390</v>
      </c>
      <c r="BW278" s="81">
        <f t="shared" si="1262"/>
        <v>6390</v>
      </c>
      <c r="BX278" s="1"/>
      <c r="BY278" s="1"/>
      <c r="BZ278" s="1"/>
      <c r="CA278" s="1"/>
      <c r="CB278" s="1"/>
      <c r="CC278" s="1"/>
      <c r="CD278" s="1"/>
      <c r="CE278" s="1"/>
      <c r="CF278" s="1"/>
      <c r="CG278" s="1"/>
    </row>
    <row r="279" spans="1:85" ht="15.75" customHeight="1">
      <c r="A279" s="307"/>
      <c r="B279" s="308"/>
      <c r="C279" s="309"/>
      <c r="D279" s="310"/>
      <c r="E279" s="221"/>
      <c r="F279" s="311"/>
      <c r="G279" s="311"/>
      <c r="H279" s="107"/>
      <c r="I279" s="222"/>
      <c r="J279" s="222"/>
      <c r="K279" s="107"/>
      <c r="L279" s="311"/>
      <c r="M279" s="311"/>
      <c r="N279" s="107"/>
      <c r="O279" s="311"/>
      <c r="P279" s="311"/>
      <c r="Q279" s="311"/>
      <c r="R279" s="311"/>
      <c r="S279" s="311"/>
      <c r="T279" s="311"/>
      <c r="U279" s="107"/>
      <c r="V279" s="107"/>
      <c r="W279" s="107"/>
      <c r="X279" s="224"/>
      <c r="Y279" s="224"/>
      <c r="Z279" s="224"/>
      <c r="AA279" s="311"/>
      <c r="AB279" s="311"/>
      <c r="AC279" s="311"/>
      <c r="AD279" s="311"/>
      <c r="AE279" s="311"/>
      <c r="AF279" s="311"/>
      <c r="AG279" s="311"/>
      <c r="AH279" s="311"/>
      <c r="AI279" s="311"/>
      <c r="AJ279" s="311"/>
      <c r="AK279" s="311"/>
      <c r="AL279" s="311"/>
      <c r="AM279" s="311"/>
      <c r="AN279" s="311"/>
      <c r="AO279" s="311"/>
      <c r="AP279" s="311"/>
      <c r="AQ279" s="311"/>
      <c r="AR279" s="311"/>
      <c r="AS279" s="311"/>
      <c r="AT279" s="311"/>
      <c r="AU279" s="311"/>
      <c r="AV279" s="311"/>
      <c r="AW279" s="311"/>
      <c r="AX279" s="311"/>
      <c r="AY279" s="311"/>
      <c r="AZ279" s="311"/>
      <c r="BA279" s="311"/>
      <c r="BB279" s="311"/>
      <c r="BC279" s="311"/>
      <c r="BD279" s="311"/>
      <c r="BE279" s="311"/>
      <c r="BF279" s="311"/>
      <c r="BG279" s="311"/>
      <c r="BH279" s="311"/>
      <c r="BI279" s="311"/>
      <c r="BJ279" s="311"/>
      <c r="BK279" s="311"/>
      <c r="BL279" s="311"/>
      <c r="BM279" s="311"/>
      <c r="BN279" s="311"/>
      <c r="BO279" s="311"/>
      <c r="BP279" s="311"/>
      <c r="BQ279" s="311"/>
      <c r="BR279" s="311"/>
      <c r="BS279" s="311"/>
      <c r="BT279" s="311"/>
      <c r="BU279" s="311"/>
      <c r="BV279" s="311"/>
      <c r="BW279" s="311"/>
      <c r="BX279" s="1"/>
      <c r="BY279" s="1"/>
      <c r="BZ279" s="1"/>
      <c r="CA279" s="1"/>
      <c r="CB279" s="1"/>
      <c r="CC279" s="1"/>
      <c r="CD279" s="1"/>
      <c r="CE279" s="1"/>
      <c r="CF279" s="1"/>
      <c r="CG279" s="1"/>
    </row>
    <row r="280" spans="1:85" ht="15.75" customHeight="1">
      <c r="A280" s="312"/>
      <c r="B280" s="313" t="s">
        <v>567</v>
      </c>
      <c r="C280" s="314"/>
      <c r="D280" s="315"/>
      <c r="E280" s="51">
        <f t="shared" ref="E280:H280" si="1275">E281+E330+E338+E450+E481+E486+E490</f>
        <v>565264.89</v>
      </c>
      <c r="F280" s="51">
        <f t="shared" si="1275"/>
        <v>37840.94</v>
      </c>
      <c r="G280" s="51">
        <f t="shared" si="1275"/>
        <v>527423.94999999995</v>
      </c>
      <c r="H280" s="51">
        <f t="shared" si="1275"/>
        <v>5109944.87</v>
      </c>
      <c r="I280" s="99">
        <f t="shared" ref="I280:I327" si="1276">IF(G280&gt;0,K280/G280,0)</f>
        <v>0.30674670727410086</v>
      </c>
      <c r="J280" s="99">
        <f t="shared" ref="J280:J327" si="1277">IF(G280&gt;0,O280/G280,0)</f>
        <v>0.30674670727410086</v>
      </c>
      <c r="K280" s="51">
        <f t="shared" ref="K280:W280" si="1278">K281+K330+K338+K450+K481+K486+K490</f>
        <v>161785.56</v>
      </c>
      <c r="L280" s="51">
        <f t="shared" si="1278"/>
        <v>1754822.57</v>
      </c>
      <c r="M280" s="51">
        <f t="shared" si="1278"/>
        <v>60891.59</v>
      </c>
      <c r="N280" s="51">
        <f t="shared" si="1278"/>
        <v>3006973.9400000004</v>
      </c>
      <c r="O280" s="51">
        <f t="shared" si="1278"/>
        <v>161785.56</v>
      </c>
      <c r="P280" s="51">
        <f t="shared" si="1278"/>
        <v>1606936.47</v>
      </c>
      <c r="Q280" s="51">
        <f t="shared" si="1278"/>
        <v>2680449.58</v>
      </c>
      <c r="R280" s="51">
        <f t="shared" si="1278"/>
        <v>161785.56</v>
      </c>
      <c r="S280" s="51">
        <f t="shared" si="1278"/>
        <v>1606936.4700000002</v>
      </c>
      <c r="T280" s="51">
        <f t="shared" si="1278"/>
        <v>2621504.3600010001</v>
      </c>
      <c r="U280" s="51">
        <f t="shared" si="1278"/>
        <v>0</v>
      </c>
      <c r="V280" s="51">
        <f t="shared" si="1278"/>
        <v>86994.510000000009</v>
      </c>
      <c r="W280" s="51">
        <f t="shared" si="1278"/>
        <v>326524.36</v>
      </c>
      <c r="X280" s="53">
        <f t="shared" ref="X280:Y280" si="1279">IF(O280&gt;0,O280/K280,0)</f>
        <v>1</v>
      </c>
      <c r="Y280" s="53">
        <f t="shared" si="1279"/>
        <v>0.91572589586649777</v>
      </c>
      <c r="Z280" s="53">
        <f t="shared" ref="Z280:Z327" si="1280">IF(Q280&gt;0,Q280/N280,0)</f>
        <v>0.89141097777521805</v>
      </c>
      <c r="AA280" s="51">
        <f t="shared" ref="AA280:BW280" si="1281">AA281+AA330+AA338+AA450+AA481+AA486+AA490</f>
        <v>0</v>
      </c>
      <c r="AB280" s="51">
        <f t="shared" si="1281"/>
        <v>52211.55</v>
      </c>
      <c r="AC280" s="51">
        <f t="shared" si="1281"/>
        <v>0</v>
      </c>
      <c r="AD280" s="51">
        <f t="shared" si="1281"/>
        <v>0</v>
      </c>
      <c r="AE280" s="51">
        <f t="shared" si="1281"/>
        <v>210168.14</v>
      </c>
      <c r="AF280" s="51">
        <f t="shared" si="1281"/>
        <v>405.27</v>
      </c>
      <c r="AG280" s="51">
        <f t="shared" si="1281"/>
        <v>728.04</v>
      </c>
      <c r="AH280" s="51">
        <f t="shared" si="1281"/>
        <v>179523.25</v>
      </c>
      <c r="AI280" s="51">
        <f t="shared" si="1281"/>
        <v>106717.36</v>
      </c>
      <c r="AJ280" s="51">
        <f t="shared" si="1281"/>
        <v>67.680000000000007</v>
      </c>
      <c r="AK280" s="51">
        <f t="shared" si="1281"/>
        <v>190877.87000000002</v>
      </c>
      <c r="AL280" s="51">
        <f t="shared" si="1281"/>
        <v>203632.5</v>
      </c>
      <c r="AM280" s="51">
        <f t="shared" si="1281"/>
        <v>4784.3599999999997</v>
      </c>
      <c r="AN280" s="51">
        <f t="shared" si="1281"/>
        <v>108779.45999999999</v>
      </c>
      <c r="AO280" s="51">
        <f t="shared" si="1281"/>
        <v>312364.15000000002</v>
      </c>
      <c r="AP280" s="51">
        <f t="shared" si="1281"/>
        <v>26539.53</v>
      </c>
      <c r="AQ280" s="51">
        <f t="shared" si="1281"/>
        <v>199268.69</v>
      </c>
      <c r="AR280" s="51">
        <f t="shared" si="1281"/>
        <v>271111.19000000006</v>
      </c>
      <c r="AS280" s="51">
        <f t="shared" si="1281"/>
        <v>5008.32</v>
      </c>
      <c r="AT280" s="51">
        <f t="shared" si="1281"/>
        <v>53670.19</v>
      </c>
      <c r="AU280" s="51">
        <f t="shared" si="1281"/>
        <v>295189.57</v>
      </c>
      <c r="AV280" s="51">
        <f t="shared" si="1281"/>
        <v>26487.66</v>
      </c>
      <c r="AW280" s="51">
        <f t="shared" si="1281"/>
        <v>156560.64000000001</v>
      </c>
      <c r="AX280" s="51">
        <f t="shared" si="1281"/>
        <v>355867.42</v>
      </c>
      <c r="AY280" s="51">
        <f t="shared" si="1281"/>
        <v>27347.57</v>
      </c>
      <c r="AZ280" s="51">
        <f t="shared" si="1281"/>
        <v>102191.8</v>
      </c>
      <c r="BA280" s="51">
        <f t="shared" si="1281"/>
        <v>58502.679999999986</v>
      </c>
      <c r="BB280" s="51">
        <f t="shared" si="1281"/>
        <v>45886.79</v>
      </c>
      <c r="BC280" s="51">
        <f t="shared" si="1281"/>
        <v>30970.78</v>
      </c>
      <c r="BD280" s="51">
        <f t="shared" si="1281"/>
        <v>291605.21999999997</v>
      </c>
      <c r="BE280" s="51">
        <f t="shared" si="1281"/>
        <v>24935.61</v>
      </c>
      <c r="BF280" s="51">
        <f t="shared" si="1281"/>
        <v>20740.940000000002</v>
      </c>
      <c r="BG280" s="51">
        <f t="shared" si="1281"/>
        <v>340024.2</v>
      </c>
      <c r="BH280" s="51">
        <f t="shared" si="1281"/>
        <v>0</v>
      </c>
      <c r="BI280" s="51">
        <f t="shared" si="1281"/>
        <v>301973.16000000003</v>
      </c>
      <c r="BJ280" s="51">
        <f t="shared" si="1281"/>
        <v>445030.01999999996</v>
      </c>
      <c r="BK280" s="51">
        <f t="shared" si="1281"/>
        <v>161785.56</v>
      </c>
      <c r="BL280" s="51">
        <f t="shared" si="1281"/>
        <v>1606936.4700000002</v>
      </c>
      <c r="BM280" s="51">
        <f t="shared" si="1281"/>
        <v>2621504.3600010001</v>
      </c>
      <c r="BN280" s="51">
        <f t="shared" si="1281"/>
        <v>0</v>
      </c>
      <c r="BO280" s="51">
        <f t="shared" si="1281"/>
        <v>58945.219999000125</v>
      </c>
      <c r="BP280" s="51">
        <f t="shared" si="1281"/>
        <v>58945.219999000125</v>
      </c>
      <c r="BQ280" s="51">
        <f t="shared" si="1281"/>
        <v>0</v>
      </c>
      <c r="BR280" s="51">
        <f t="shared" si="1281"/>
        <v>326524.36</v>
      </c>
      <c r="BS280" s="51">
        <f t="shared" si="1281"/>
        <v>326524.36</v>
      </c>
      <c r="BT280" s="51">
        <f t="shared" si="1281"/>
        <v>86994.510000000009</v>
      </c>
      <c r="BU280" s="51">
        <f t="shared" si="1281"/>
        <v>58945.219999000125</v>
      </c>
      <c r="BV280" s="51">
        <f t="shared" si="1281"/>
        <v>326524.36</v>
      </c>
      <c r="BW280" s="51">
        <f t="shared" si="1281"/>
        <v>472464.08999899996</v>
      </c>
      <c r="BX280" s="1"/>
      <c r="BY280" s="1"/>
      <c r="BZ280" s="1"/>
      <c r="CA280" s="1"/>
      <c r="CB280" s="1"/>
      <c r="CC280" s="1"/>
      <c r="CD280" s="1"/>
      <c r="CE280" s="1"/>
      <c r="CF280" s="1"/>
      <c r="CG280" s="1"/>
    </row>
    <row r="281" spans="1:85" ht="15.75" customHeight="1">
      <c r="A281" s="100"/>
      <c r="B281" s="101"/>
      <c r="C281" s="102"/>
      <c r="D281" s="103" t="s">
        <v>126</v>
      </c>
      <c r="E281" s="104">
        <f t="shared" ref="E281:H281" si="1282">E282+E287+E290+E310+E312+E315+E323+E325+E327</f>
        <v>138100</v>
      </c>
      <c r="F281" s="104">
        <f t="shared" si="1282"/>
        <v>0</v>
      </c>
      <c r="G281" s="104">
        <f t="shared" si="1282"/>
        <v>138100</v>
      </c>
      <c r="H281" s="104">
        <f t="shared" si="1282"/>
        <v>0</v>
      </c>
      <c r="I281" s="105">
        <f t="shared" si="1276"/>
        <v>0.75608660391020999</v>
      </c>
      <c r="J281" s="105">
        <f t="shared" si="1277"/>
        <v>0.75608660391020999</v>
      </c>
      <c r="K281" s="104">
        <f t="shared" ref="K281:W281" si="1283">K282+K287+K290+K310+K312+K315+K323+K325+K327</f>
        <v>104415.56</v>
      </c>
      <c r="L281" s="104">
        <f t="shared" si="1283"/>
        <v>118812.51000000001</v>
      </c>
      <c r="M281" s="104">
        <f t="shared" si="1283"/>
        <v>0</v>
      </c>
      <c r="N281" s="104">
        <f t="shared" si="1283"/>
        <v>0</v>
      </c>
      <c r="O281" s="104">
        <f t="shared" si="1283"/>
        <v>104415.56</v>
      </c>
      <c r="P281" s="104">
        <f t="shared" si="1283"/>
        <v>40484.020000000004</v>
      </c>
      <c r="Q281" s="104">
        <f t="shared" si="1283"/>
        <v>0</v>
      </c>
      <c r="R281" s="104">
        <f t="shared" si="1283"/>
        <v>104415.56</v>
      </c>
      <c r="S281" s="104">
        <f t="shared" si="1283"/>
        <v>40484.020000000004</v>
      </c>
      <c r="T281" s="104">
        <f t="shared" si="1283"/>
        <v>0</v>
      </c>
      <c r="U281" s="104">
        <f t="shared" si="1283"/>
        <v>0</v>
      </c>
      <c r="V281" s="104">
        <f t="shared" si="1283"/>
        <v>78328.490000000005</v>
      </c>
      <c r="W281" s="104">
        <f t="shared" si="1283"/>
        <v>0</v>
      </c>
      <c r="X281" s="106">
        <f t="shared" ref="X281:Y281" si="1284">IF(O281&gt;0,O281/K281,0)</f>
        <v>1</v>
      </c>
      <c r="Y281" s="106">
        <f t="shared" si="1284"/>
        <v>0.3407386983071059</v>
      </c>
      <c r="Z281" s="106">
        <f t="shared" si="1280"/>
        <v>0</v>
      </c>
      <c r="AA281" s="104">
        <f t="shared" ref="AA281:BW281" si="1285">AA282+AA287+AA290+AA310+AA312+AA315+AA323+AA325+AA327</f>
        <v>0</v>
      </c>
      <c r="AB281" s="104">
        <f t="shared" si="1285"/>
        <v>3176.17</v>
      </c>
      <c r="AC281" s="104">
        <f t="shared" si="1285"/>
        <v>0</v>
      </c>
      <c r="AD281" s="104">
        <f t="shared" si="1285"/>
        <v>0</v>
      </c>
      <c r="AE281" s="104">
        <f t="shared" si="1285"/>
        <v>3176.17</v>
      </c>
      <c r="AF281" s="104">
        <f t="shared" si="1285"/>
        <v>0</v>
      </c>
      <c r="AG281" s="104">
        <f t="shared" si="1285"/>
        <v>728.04</v>
      </c>
      <c r="AH281" s="104">
        <f t="shared" si="1285"/>
        <v>3176.17</v>
      </c>
      <c r="AI281" s="104">
        <f t="shared" si="1285"/>
        <v>0</v>
      </c>
      <c r="AJ281" s="104">
        <f t="shared" si="1285"/>
        <v>67.680000000000007</v>
      </c>
      <c r="AK281" s="104">
        <f t="shared" si="1285"/>
        <v>3176.17</v>
      </c>
      <c r="AL281" s="104">
        <f t="shared" si="1285"/>
        <v>0</v>
      </c>
      <c r="AM281" s="104">
        <f t="shared" si="1285"/>
        <v>584.36</v>
      </c>
      <c r="AN281" s="104">
        <f t="shared" si="1285"/>
        <v>3070.3</v>
      </c>
      <c r="AO281" s="104">
        <f t="shared" si="1285"/>
        <v>0</v>
      </c>
      <c r="AP281" s="104">
        <f t="shared" si="1285"/>
        <v>16504.53</v>
      </c>
      <c r="AQ281" s="104">
        <f t="shared" si="1285"/>
        <v>109.04</v>
      </c>
      <c r="AR281" s="104">
        <f t="shared" si="1285"/>
        <v>0</v>
      </c>
      <c r="AS281" s="104">
        <f t="shared" si="1285"/>
        <v>5008.32</v>
      </c>
      <c r="AT281" s="104">
        <f t="shared" si="1285"/>
        <v>0</v>
      </c>
      <c r="AU281" s="104">
        <f t="shared" si="1285"/>
        <v>0</v>
      </c>
      <c r="AV281" s="104">
        <f t="shared" si="1285"/>
        <v>17487.66</v>
      </c>
      <c r="AW281" s="104">
        <f t="shared" si="1285"/>
        <v>0</v>
      </c>
      <c r="AX281" s="104">
        <f t="shared" si="1285"/>
        <v>0</v>
      </c>
      <c r="AY281" s="104">
        <f t="shared" si="1285"/>
        <v>20747.57</v>
      </c>
      <c r="AZ281" s="104">
        <f t="shared" si="1285"/>
        <v>0</v>
      </c>
      <c r="BA281" s="104">
        <f t="shared" si="1285"/>
        <v>0</v>
      </c>
      <c r="BB281" s="104">
        <f t="shared" si="1285"/>
        <v>33351.79</v>
      </c>
      <c r="BC281" s="104">
        <f t="shared" si="1285"/>
        <v>0</v>
      </c>
      <c r="BD281" s="104">
        <f t="shared" si="1285"/>
        <v>0</v>
      </c>
      <c r="BE281" s="104">
        <f t="shared" si="1285"/>
        <v>9935.61</v>
      </c>
      <c r="BF281" s="104">
        <f t="shared" si="1285"/>
        <v>0</v>
      </c>
      <c r="BG281" s="104">
        <f t="shared" si="1285"/>
        <v>0</v>
      </c>
      <c r="BH281" s="104">
        <f t="shared" si="1285"/>
        <v>0</v>
      </c>
      <c r="BI281" s="104">
        <f t="shared" si="1285"/>
        <v>24600</v>
      </c>
      <c r="BJ281" s="104">
        <f t="shared" si="1285"/>
        <v>0</v>
      </c>
      <c r="BK281" s="104">
        <f t="shared" si="1285"/>
        <v>104415.56</v>
      </c>
      <c r="BL281" s="104">
        <f t="shared" si="1285"/>
        <v>40484.020000000004</v>
      </c>
      <c r="BM281" s="104">
        <f t="shared" si="1285"/>
        <v>0</v>
      </c>
      <c r="BN281" s="104">
        <f t="shared" si="1285"/>
        <v>0</v>
      </c>
      <c r="BO281" s="104">
        <f t="shared" si="1285"/>
        <v>0</v>
      </c>
      <c r="BP281" s="104">
        <f t="shared" si="1285"/>
        <v>0</v>
      </c>
      <c r="BQ281" s="104">
        <f t="shared" si="1285"/>
        <v>0</v>
      </c>
      <c r="BR281" s="104">
        <f t="shared" si="1285"/>
        <v>0</v>
      </c>
      <c r="BS281" s="104">
        <f t="shared" si="1285"/>
        <v>0</v>
      </c>
      <c r="BT281" s="104">
        <f t="shared" si="1285"/>
        <v>78328.490000000005</v>
      </c>
      <c r="BU281" s="104">
        <f t="shared" si="1285"/>
        <v>0</v>
      </c>
      <c r="BV281" s="104">
        <f t="shared" si="1285"/>
        <v>0</v>
      </c>
      <c r="BW281" s="104">
        <f t="shared" si="1285"/>
        <v>78328.490000000005</v>
      </c>
      <c r="BX281" s="1"/>
      <c r="BY281" s="1"/>
      <c r="BZ281" s="1"/>
      <c r="CA281" s="1"/>
      <c r="CB281" s="1"/>
      <c r="CC281" s="1"/>
      <c r="CD281" s="1"/>
      <c r="CE281" s="1"/>
      <c r="CF281" s="1"/>
      <c r="CG281" s="1"/>
    </row>
    <row r="282" spans="1:85" ht="15.75">
      <c r="A282" s="109"/>
      <c r="B282" s="110"/>
      <c r="C282" s="111"/>
      <c r="D282" s="112" t="s">
        <v>116</v>
      </c>
      <c r="E282" s="58">
        <f t="shared" ref="E282:H282" si="1286">SUM(E283:E286)</f>
        <v>21000</v>
      </c>
      <c r="F282" s="58">
        <f t="shared" si="1286"/>
        <v>0</v>
      </c>
      <c r="G282" s="58">
        <f t="shared" si="1286"/>
        <v>21000</v>
      </c>
      <c r="H282" s="58">
        <f t="shared" si="1286"/>
        <v>0</v>
      </c>
      <c r="I282" s="60">
        <f t="shared" si="1276"/>
        <v>0.70896619047619047</v>
      </c>
      <c r="J282" s="60">
        <f t="shared" si="1277"/>
        <v>0.70896619047619047</v>
      </c>
      <c r="K282" s="58">
        <f t="shared" ref="K282:W282" si="1287">SUM(K283:K286)</f>
        <v>14888.29</v>
      </c>
      <c r="L282" s="58">
        <f t="shared" si="1287"/>
        <v>0</v>
      </c>
      <c r="M282" s="58">
        <f t="shared" si="1287"/>
        <v>0</v>
      </c>
      <c r="N282" s="58">
        <f t="shared" si="1287"/>
        <v>0</v>
      </c>
      <c r="O282" s="58">
        <f t="shared" si="1287"/>
        <v>14888.29</v>
      </c>
      <c r="P282" s="58">
        <f t="shared" si="1287"/>
        <v>0</v>
      </c>
      <c r="Q282" s="58">
        <f t="shared" si="1287"/>
        <v>0</v>
      </c>
      <c r="R282" s="58">
        <f t="shared" si="1287"/>
        <v>14888.29</v>
      </c>
      <c r="S282" s="58">
        <f t="shared" si="1287"/>
        <v>0</v>
      </c>
      <c r="T282" s="58">
        <f t="shared" si="1287"/>
        <v>0</v>
      </c>
      <c r="U282" s="58">
        <f t="shared" si="1287"/>
        <v>0</v>
      </c>
      <c r="V282" s="58">
        <f t="shared" si="1287"/>
        <v>0</v>
      </c>
      <c r="W282" s="58">
        <f t="shared" si="1287"/>
        <v>0</v>
      </c>
      <c r="X282" s="63">
        <f t="shared" ref="X282:Y282" si="1288">IF(O282&gt;0,O282/K282,0)</f>
        <v>1</v>
      </c>
      <c r="Y282" s="63">
        <f t="shared" si="1288"/>
        <v>0</v>
      </c>
      <c r="Z282" s="63">
        <f t="shared" si="1280"/>
        <v>0</v>
      </c>
      <c r="AA282" s="58">
        <f t="shared" ref="AA282:BW282" si="1289">SUM(AA283:AA286)</f>
        <v>0</v>
      </c>
      <c r="AB282" s="58">
        <f t="shared" si="1289"/>
        <v>0</v>
      </c>
      <c r="AC282" s="58">
        <f t="shared" si="1289"/>
        <v>0</v>
      </c>
      <c r="AD282" s="58">
        <f t="shared" si="1289"/>
        <v>0</v>
      </c>
      <c r="AE282" s="58">
        <f t="shared" si="1289"/>
        <v>0</v>
      </c>
      <c r="AF282" s="58">
        <f t="shared" si="1289"/>
        <v>0</v>
      </c>
      <c r="AG282" s="58">
        <f t="shared" si="1289"/>
        <v>203.04000000000002</v>
      </c>
      <c r="AH282" s="58">
        <f t="shared" si="1289"/>
        <v>0</v>
      </c>
      <c r="AI282" s="58">
        <f t="shared" si="1289"/>
        <v>0</v>
      </c>
      <c r="AJ282" s="58">
        <f t="shared" si="1289"/>
        <v>67.680000000000007</v>
      </c>
      <c r="AK282" s="58">
        <f t="shared" si="1289"/>
        <v>0</v>
      </c>
      <c r="AL282" s="58">
        <f t="shared" si="1289"/>
        <v>0</v>
      </c>
      <c r="AM282" s="58">
        <f t="shared" si="1289"/>
        <v>584.36</v>
      </c>
      <c r="AN282" s="58">
        <f t="shared" si="1289"/>
        <v>0</v>
      </c>
      <c r="AO282" s="58">
        <f t="shared" si="1289"/>
        <v>0</v>
      </c>
      <c r="AP282" s="58">
        <f t="shared" si="1289"/>
        <v>464.97</v>
      </c>
      <c r="AQ282" s="58">
        <f t="shared" si="1289"/>
        <v>0</v>
      </c>
      <c r="AR282" s="58">
        <f t="shared" si="1289"/>
        <v>0</v>
      </c>
      <c r="AS282" s="58">
        <f t="shared" si="1289"/>
        <v>135.36000000000001</v>
      </c>
      <c r="AT282" s="58">
        <f t="shared" si="1289"/>
        <v>0</v>
      </c>
      <c r="AU282" s="58">
        <f t="shared" si="1289"/>
        <v>0</v>
      </c>
      <c r="AV282" s="58">
        <f t="shared" si="1289"/>
        <v>2261.46</v>
      </c>
      <c r="AW282" s="58">
        <f t="shared" si="1289"/>
        <v>0</v>
      </c>
      <c r="AX282" s="58">
        <f t="shared" si="1289"/>
        <v>0</v>
      </c>
      <c r="AY282" s="58">
        <f t="shared" si="1289"/>
        <v>1680.48</v>
      </c>
      <c r="AZ282" s="58">
        <f t="shared" si="1289"/>
        <v>0</v>
      </c>
      <c r="BA282" s="58">
        <f t="shared" si="1289"/>
        <v>0</v>
      </c>
      <c r="BB282" s="58">
        <f t="shared" si="1289"/>
        <v>1500.19</v>
      </c>
      <c r="BC282" s="58">
        <f t="shared" si="1289"/>
        <v>0</v>
      </c>
      <c r="BD282" s="58">
        <f t="shared" si="1289"/>
        <v>0</v>
      </c>
      <c r="BE282" s="58">
        <f t="shared" si="1289"/>
        <v>7990.75</v>
      </c>
      <c r="BF282" s="58">
        <f t="shared" si="1289"/>
        <v>0</v>
      </c>
      <c r="BG282" s="58">
        <f t="shared" si="1289"/>
        <v>0</v>
      </c>
      <c r="BH282" s="58">
        <f t="shared" si="1289"/>
        <v>0</v>
      </c>
      <c r="BI282" s="58">
        <f t="shared" si="1289"/>
        <v>0</v>
      </c>
      <c r="BJ282" s="58">
        <f t="shared" si="1289"/>
        <v>0</v>
      </c>
      <c r="BK282" s="58">
        <f t="shared" si="1289"/>
        <v>14888.29</v>
      </c>
      <c r="BL282" s="58">
        <f t="shared" si="1289"/>
        <v>0</v>
      </c>
      <c r="BM282" s="58">
        <f t="shared" si="1289"/>
        <v>0</v>
      </c>
      <c r="BN282" s="58">
        <f t="shared" si="1289"/>
        <v>0</v>
      </c>
      <c r="BO282" s="58">
        <f t="shared" si="1289"/>
        <v>0</v>
      </c>
      <c r="BP282" s="58">
        <f t="shared" si="1289"/>
        <v>0</v>
      </c>
      <c r="BQ282" s="58">
        <f t="shared" si="1289"/>
        <v>0</v>
      </c>
      <c r="BR282" s="58">
        <f t="shared" si="1289"/>
        <v>0</v>
      </c>
      <c r="BS282" s="58">
        <f t="shared" si="1289"/>
        <v>0</v>
      </c>
      <c r="BT282" s="58">
        <f t="shared" si="1289"/>
        <v>0</v>
      </c>
      <c r="BU282" s="58">
        <f t="shared" si="1289"/>
        <v>0</v>
      </c>
      <c r="BV282" s="58">
        <f t="shared" si="1289"/>
        <v>0</v>
      </c>
      <c r="BW282" s="58">
        <f t="shared" si="1289"/>
        <v>0</v>
      </c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</row>
    <row r="283" spans="1:85" ht="15.75" customHeight="1">
      <c r="A283" s="66" t="s">
        <v>568</v>
      </c>
      <c r="B283" s="113"/>
      <c r="C283" s="68" t="s">
        <v>118</v>
      </c>
      <c r="D283" s="316" t="s">
        <v>119</v>
      </c>
      <c r="E283" s="70">
        <f>5000+2000</f>
        <v>7000</v>
      </c>
      <c r="F283" s="70"/>
      <c r="G283" s="70">
        <f t="shared" ref="G283:G286" si="1290">E283-F283</f>
        <v>7000</v>
      </c>
      <c r="H283" s="70"/>
      <c r="I283" s="187">
        <f t="shared" si="1276"/>
        <v>1.396477142857143</v>
      </c>
      <c r="J283" s="187">
        <f t="shared" si="1277"/>
        <v>1.396477142857143</v>
      </c>
      <c r="K283" s="73">
        <f>3000+2000+8000-1500-1595.03-129.63</f>
        <v>9775.34</v>
      </c>
      <c r="L283" s="88"/>
      <c r="M283" s="88"/>
      <c r="N283" s="88"/>
      <c r="O283" s="79">
        <f t="shared" ref="O283:Q283" si="1291">AA283+AD283+AG283+AJ283+AM283+AP283+AS283+AV283+AY283+BB283+BE283+BH283</f>
        <v>9775.34</v>
      </c>
      <c r="P283" s="79">
        <f t="shared" si="1291"/>
        <v>0</v>
      </c>
      <c r="Q283" s="79">
        <f t="shared" si="1291"/>
        <v>0</v>
      </c>
      <c r="R283" s="79">
        <f t="shared" ref="R283:T283" si="1292">IF(BK283=0,SUM(AA283+AD283+AG283+AJ283+AM283+AP283+AS283+AV283+AY283+BB283+BE283+BH283),BK283)</f>
        <v>9775.34</v>
      </c>
      <c r="S283" s="79">
        <f t="shared" si="1292"/>
        <v>0</v>
      </c>
      <c r="T283" s="79">
        <f t="shared" si="1292"/>
        <v>0</v>
      </c>
      <c r="U283" s="78">
        <f t="shared" ref="U283:U286" si="1293">K283-O283</f>
        <v>0</v>
      </c>
      <c r="V283" s="79">
        <f t="shared" ref="V283:V286" si="1294">L283-M283-S283</f>
        <v>0</v>
      </c>
      <c r="W283" s="79">
        <f t="shared" ref="W283:W286" si="1295">N283-Q283</f>
        <v>0</v>
      </c>
      <c r="X283" s="188">
        <f t="shared" ref="X283:Y283" si="1296">IF(O283&gt;0,O283/K283,0)</f>
        <v>1</v>
      </c>
      <c r="Y283" s="188">
        <f t="shared" si="1296"/>
        <v>0</v>
      </c>
      <c r="Z283" s="188">
        <f t="shared" si="1280"/>
        <v>0</v>
      </c>
      <c r="AA283" s="88"/>
      <c r="AB283" s="88"/>
      <c r="AC283" s="88"/>
      <c r="AD283" s="88"/>
      <c r="AE283" s="189"/>
      <c r="AF283" s="189"/>
      <c r="AG283" s="189">
        <f>67.68*3</f>
        <v>203.04000000000002</v>
      </c>
      <c r="AH283" s="189"/>
      <c r="AI283" s="88"/>
      <c r="AJ283" s="73">
        <v>67.680000000000007</v>
      </c>
      <c r="AK283" s="88"/>
      <c r="AL283" s="88"/>
      <c r="AM283" s="88">
        <f>67.68+67.68</f>
        <v>135.36000000000001</v>
      </c>
      <c r="AN283" s="88"/>
      <c r="AO283" s="88"/>
      <c r="AP283" s="88">
        <f>67.68+84.93+223.86+88.5</f>
        <v>464.97</v>
      </c>
      <c r="AQ283" s="88"/>
      <c r="AR283" s="88"/>
      <c r="AS283" s="88">
        <f>67.68+67.68</f>
        <v>135.36000000000001</v>
      </c>
      <c r="AT283" s="88"/>
      <c r="AU283" s="88"/>
      <c r="AV283" s="88">
        <f>689.79+689.79+129.63</f>
        <v>1509.21</v>
      </c>
      <c r="AW283" s="88"/>
      <c r="AX283" s="88"/>
      <c r="AY283" s="88">
        <f>129.63*6</f>
        <v>777.78</v>
      </c>
      <c r="AZ283" s="88"/>
      <c r="BA283" s="88"/>
      <c r="BB283" s="88">
        <f>129.63+375.6+393.16</f>
        <v>898.3900000000001</v>
      </c>
      <c r="BC283" s="88"/>
      <c r="BD283" s="88"/>
      <c r="BE283" s="88">
        <f>(129.63*3)+409.71+2152.65+1833.7+409.71+129.63+129.63+129.63</f>
        <v>5583.55</v>
      </c>
      <c r="BF283" s="88"/>
      <c r="BG283" s="88"/>
      <c r="BH283" s="88"/>
      <c r="BI283" s="88"/>
      <c r="BJ283" s="88"/>
      <c r="BK283" s="82">
        <v>9775.34</v>
      </c>
      <c r="BL283" s="82">
        <v>0</v>
      </c>
      <c r="BM283" s="82">
        <v>0</v>
      </c>
      <c r="BN283" s="81">
        <f t="shared" ref="BN283:BN286" si="1297">IF(O283-BK283&gt;0,O283-BK283,0)</f>
        <v>0</v>
      </c>
      <c r="BO283" s="75">
        <f t="shared" ref="BO283:BO286" si="1298">IF(Q283-BM283&gt;0,Q283-BM283,0)</f>
        <v>0</v>
      </c>
      <c r="BP283" s="81">
        <f t="shared" ref="BP283:BP286" si="1299">IF(BN283+BO283&gt;0,BN283+BO283,0)</f>
        <v>0</v>
      </c>
      <c r="BQ283" s="81">
        <f t="shared" ref="BQ283:BQ286" si="1300">IF(U283=0,0,U283)</f>
        <v>0</v>
      </c>
      <c r="BR283" s="81">
        <f t="shared" ref="BR283:BR286" si="1301">IF(W283=0,0,W283)</f>
        <v>0</v>
      </c>
      <c r="BS283" s="81">
        <f t="shared" ref="BS283:BS286" si="1302">IF(BQ283+BR283&gt;0,BQ283+BR283,0)</f>
        <v>0</v>
      </c>
      <c r="BT283" s="81">
        <f t="shared" ref="BT283:BT286" si="1303">IF(V283&gt;0,V283,0)</f>
        <v>0</v>
      </c>
      <c r="BU283" s="81">
        <f t="shared" ref="BU283:BU286" si="1304">IF(BP283=0,0,BP283)</f>
        <v>0</v>
      </c>
      <c r="BV283" s="81">
        <f t="shared" ref="BV283:BV286" si="1305">IF(BS283=0,0,BS283)</f>
        <v>0</v>
      </c>
      <c r="BW283" s="81">
        <f t="shared" ref="BW283:BW286" si="1306">IF(BP283+BT283+BV283&gt;0,BP283+BT283+BV283,0)</f>
        <v>0</v>
      </c>
      <c r="BX283" s="190"/>
      <c r="BY283" s="190"/>
      <c r="BZ283" s="190"/>
      <c r="CA283" s="190"/>
      <c r="CB283" s="190"/>
      <c r="CC283" s="190"/>
      <c r="CD283" s="190"/>
      <c r="CE283" s="190"/>
      <c r="CF283" s="190"/>
      <c r="CG283" s="190"/>
    </row>
    <row r="284" spans="1:85" ht="15.75" customHeight="1">
      <c r="A284" s="84"/>
      <c r="B284" s="85"/>
      <c r="C284" s="86" t="s">
        <v>253</v>
      </c>
      <c r="D284" s="87" t="s">
        <v>569</v>
      </c>
      <c r="E284" s="70">
        <v>5000</v>
      </c>
      <c r="F284" s="71"/>
      <c r="G284" s="71">
        <f t="shared" si="1290"/>
        <v>5000</v>
      </c>
      <c r="H284" s="70"/>
      <c r="I284" s="72">
        <f t="shared" si="1276"/>
        <v>0</v>
      </c>
      <c r="J284" s="72">
        <f t="shared" si="1277"/>
        <v>0</v>
      </c>
      <c r="K284" s="88"/>
      <c r="L284" s="81"/>
      <c r="M284" s="81"/>
      <c r="N284" s="88"/>
      <c r="O284" s="77">
        <f t="shared" ref="O284:Q284" si="1307">AA284+AD284+AG284+AJ284+AM284+AP284+AS284+AV284+AY284+BB284+BE284+BH284</f>
        <v>0</v>
      </c>
      <c r="P284" s="77">
        <f t="shared" si="1307"/>
        <v>0</v>
      </c>
      <c r="Q284" s="77">
        <f t="shared" si="1307"/>
        <v>0</v>
      </c>
      <c r="R284" s="77">
        <f t="shared" ref="R284:T284" si="1308">IF(BK284=0,SUM(AA284+AD284+AG284+AJ284+AM284+AP284+AS284+AV284+AY284+BB284+BE284+BH284),BK284)</f>
        <v>0</v>
      </c>
      <c r="S284" s="77">
        <f t="shared" si="1308"/>
        <v>0</v>
      </c>
      <c r="T284" s="77">
        <f t="shared" si="1308"/>
        <v>0</v>
      </c>
      <c r="U284" s="79">
        <f t="shared" si="1293"/>
        <v>0</v>
      </c>
      <c r="V284" s="79">
        <f t="shared" si="1294"/>
        <v>0</v>
      </c>
      <c r="W284" s="79">
        <f t="shared" si="1295"/>
        <v>0</v>
      </c>
      <c r="X284" s="80">
        <f t="shared" ref="X284:Y284" si="1309">IF(O284&gt;0,O284/K284,0)</f>
        <v>0</v>
      </c>
      <c r="Y284" s="80">
        <f t="shared" si="1309"/>
        <v>0</v>
      </c>
      <c r="Z284" s="80">
        <f t="shared" si="1280"/>
        <v>0</v>
      </c>
      <c r="AA284" s="81"/>
      <c r="AB284" s="81"/>
      <c r="AC284" s="81"/>
      <c r="AD284" s="81"/>
      <c r="AE284" s="83"/>
      <c r="AF284" s="83"/>
      <c r="AG284" s="83"/>
      <c r="AH284" s="83"/>
      <c r="AI284" s="81"/>
      <c r="AJ284" s="81"/>
      <c r="AK284" s="81"/>
      <c r="AL284" s="81"/>
      <c r="AM284" s="81"/>
      <c r="AN284" s="81"/>
      <c r="AO284" s="81"/>
      <c r="AP284" s="81"/>
      <c r="AQ284" s="81"/>
      <c r="AR284" s="81"/>
      <c r="AS284" s="81"/>
      <c r="AT284" s="81"/>
      <c r="AU284" s="81"/>
      <c r="AV284" s="81"/>
      <c r="AW284" s="81"/>
      <c r="AX284" s="81"/>
      <c r="AY284" s="81"/>
      <c r="AZ284" s="81"/>
      <c r="BA284" s="81"/>
      <c r="BB284" s="81"/>
      <c r="BC284" s="81"/>
      <c r="BD284" s="81"/>
      <c r="BE284" s="81"/>
      <c r="BF284" s="81"/>
      <c r="BG284" s="81"/>
      <c r="BH284" s="81"/>
      <c r="BI284" s="81"/>
      <c r="BJ284" s="81"/>
      <c r="BK284" s="82">
        <v>0</v>
      </c>
      <c r="BL284" s="82">
        <v>0</v>
      </c>
      <c r="BM284" s="82">
        <v>0</v>
      </c>
      <c r="BN284" s="81">
        <f t="shared" si="1297"/>
        <v>0</v>
      </c>
      <c r="BO284" s="75">
        <f t="shared" si="1298"/>
        <v>0</v>
      </c>
      <c r="BP284" s="81">
        <f t="shared" si="1299"/>
        <v>0</v>
      </c>
      <c r="BQ284" s="81">
        <f t="shared" si="1300"/>
        <v>0</v>
      </c>
      <c r="BR284" s="81">
        <f t="shared" si="1301"/>
        <v>0</v>
      </c>
      <c r="BS284" s="81">
        <f t="shared" si="1302"/>
        <v>0</v>
      </c>
      <c r="BT284" s="81">
        <f t="shared" si="1303"/>
        <v>0</v>
      </c>
      <c r="BU284" s="81">
        <f t="shared" si="1304"/>
        <v>0</v>
      </c>
      <c r="BV284" s="81">
        <f t="shared" si="1305"/>
        <v>0</v>
      </c>
      <c r="BW284" s="81">
        <f t="shared" si="1306"/>
        <v>0</v>
      </c>
      <c r="BX284" s="1"/>
      <c r="BY284" s="1"/>
      <c r="BZ284" s="1"/>
      <c r="CA284" s="1"/>
      <c r="CB284" s="1"/>
      <c r="CC284" s="1"/>
      <c r="CD284" s="1"/>
      <c r="CE284" s="1"/>
      <c r="CF284" s="1"/>
      <c r="CG284" s="1"/>
    </row>
    <row r="285" spans="1:85" ht="15.75" customHeight="1">
      <c r="A285" s="125" t="s">
        <v>570</v>
      </c>
      <c r="B285" s="85"/>
      <c r="C285" s="86" t="s">
        <v>123</v>
      </c>
      <c r="D285" s="87" t="s">
        <v>571</v>
      </c>
      <c r="E285" s="70">
        <v>5000</v>
      </c>
      <c r="F285" s="71"/>
      <c r="G285" s="71">
        <f t="shared" si="1290"/>
        <v>5000</v>
      </c>
      <c r="H285" s="70"/>
      <c r="I285" s="72">
        <f t="shared" si="1276"/>
        <v>1.0225899999999999</v>
      </c>
      <c r="J285" s="72">
        <f t="shared" si="1277"/>
        <v>1.0225899999999999</v>
      </c>
      <c r="K285" s="73">
        <f>2000+1000+2000+500-387.05</f>
        <v>5112.95</v>
      </c>
      <c r="L285" s="81"/>
      <c r="M285" s="81"/>
      <c r="N285" s="88"/>
      <c r="O285" s="77">
        <f t="shared" ref="O285:Q285" si="1310">AA285+AD285+AG285+AJ285+AM285+AP285+AS285+AV285+AY285+BB285+BE285+BH285</f>
        <v>5112.95</v>
      </c>
      <c r="P285" s="77">
        <f t="shared" si="1310"/>
        <v>0</v>
      </c>
      <c r="Q285" s="77">
        <f t="shared" si="1310"/>
        <v>0</v>
      </c>
      <c r="R285" s="77">
        <f t="shared" ref="R285:T285" si="1311">IF(BK285=0,SUM(AA285+AD285+AG285+AJ285+AM285+AP285+AS285+AV285+AY285+BB285+BE285+BH285),BK285)</f>
        <v>5112.95</v>
      </c>
      <c r="S285" s="77">
        <f t="shared" si="1311"/>
        <v>0</v>
      </c>
      <c r="T285" s="77">
        <f t="shared" si="1311"/>
        <v>0</v>
      </c>
      <c r="U285" s="78">
        <f t="shared" si="1293"/>
        <v>0</v>
      </c>
      <c r="V285" s="79">
        <f t="shared" si="1294"/>
        <v>0</v>
      </c>
      <c r="W285" s="79">
        <f t="shared" si="1295"/>
        <v>0</v>
      </c>
      <c r="X285" s="80">
        <f t="shared" ref="X285:Y285" si="1312">IF(O285&gt;0,O285/K285,0)</f>
        <v>1</v>
      </c>
      <c r="Y285" s="80">
        <f t="shared" si="1312"/>
        <v>0</v>
      </c>
      <c r="Z285" s="80">
        <f t="shared" si="1280"/>
        <v>0</v>
      </c>
      <c r="AA285" s="81"/>
      <c r="AB285" s="81"/>
      <c r="AC285" s="81"/>
      <c r="AD285" s="81"/>
      <c r="AE285" s="83"/>
      <c r="AF285" s="83"/>
      <c r="AG285" s="83"/>
      <c r="AH285" s="83"/>
      <c r="AI285" s="81"/>
      <c r="AJ285" s="81"/>
      <c r="AK285" s="81"/>
      <c r="AL285" s="81"/>
      <c r="AM285" s="81">
        <f>360.5+88.5</f>
        <v>449</v>
      </c>
      <c r="AN285" s="81"/>
      <c r="AO285" s="81"/>
      <c r="AP285" s="81"/>
      <c r="AQ285" s="81"/>
      <c r="AR285" s="81"/>
      <c r="AS285" s="81"/>
      <c r="AT285" s="81"/>
      <c r="AU285" s="81"/>
      <c r="AV285" s="81">
        <f>451.35+150.45+150.45</f>
        <v>752.25</v>
      </c>
      <c r="AW285" s="81"/>
      <c r="AX285" s="81"/>
      <c r="AY285" s="81">
        <f>752.25+150.45</f>
        <v>902.7</v>
      </c>
      <c r="AZ285" s="81"/>
      <c r="BA285" s="81"/>
      <c r="BB285" s="81">
        <f>150.45+451.35</f>
        <v>601.79999999999995</v>
      </c>
      <c r="BC285" s="81"/>
      <c r="BD285" s="81"/>
      <c r="BE285" s="81">
        <f>150.45+2256.75</f>
        <v>2407.1999999999998</v>
      </c>
      <c r="BF285" s="81"/>
      <c r="BG285" s="81"/>
      <c r="BH285" s="81"/>
      <c r="BI285" s="81"/>
      <c r="BJ285" s="81"/>
      <c r="BK285" s="82">
        <v>5112.95</v>
      </c>
      <c r="BL285" s="82">
        <v>0</v>
      </c>
      <c r="BM285" s="82">
        <v>0</v>
      </c>
      <c r="BN285" s="81">
        <f t="shared" si="1297"/>
        <v>0</v>
      </c>
      <c r="BO285" s="75">
        <f t="shared" si="1298"/>
        <v>0</v>
      </c>
      <c r="BP285" s="81">
        <f t="shared" si="1299"/>
        <v>0</v>
      </c>
      <c r="BQ285" s="81">
        <f t="shared" si="1300"/>
        <v>0</v>
      </c>
      <c r="BR285" s="81">
        <f t="shared" si="1301"/>
        <v>0</v>
      </c>
      <c r="BS285" s="81">
        <f t="shared" si="1302"/>
        <v>0</v>
      </c>
      <c r="BT285" s="81">
        <f t="shared" si="1303"/>
        <v>0</v>
      </c>
      <c r="BU285" s="81">
        <f t="shared" si="1304"/>
        <v>0</v>
      </c>
      <c r="BV285" s="81">
        <f t="shared" si="1305"/>
        <v>0</v>
      </c>
      <c r="BW285" s="81">
        <f t="shared" si="1306"/>
        <v>0</v>
      </c>
      <c r="BX285" s="1"/>
      <c r="BY285" s="1"/>
      <c r="BZ285" s="1"/>
      <c r="CA285" s="1"/>
      <c r="CB285" s="1"/>
      <c r="CC285" s="1"/>
      <c r="CD285" s="1"/>
      <c r="CE285" s="1"/>
      <c r="CF285" s="1"/>
      <c r="CG285" s="1"/>
    </row>
    <row r="286" spans="1:85" ht="15.75" customHeight="1">
      <c r="A286" s="84"/>
      <c r="B286" s="85"/>
      <c r="C286" s="86" t="s">
        <v>123</v>
      </c>
      <c r="D286" s="87" t="s">
        <v>572</v>
      </c>
      <c r="E286" s="70">
        <v>4000</v>
      </c>
      <c r="F286" s="71"/>
      <c r="G286" s="71">
        <f t="shared" si="1290"/>
        <v>4000</v>
      </c>
      <c r="H286" s="70"/>
      <c r="I286" s="72">
        <f t="shared" si="1276"/>
        <v>0</v>
      </c>
      <c r="J286" s="72">
        <f t="shared" si="1277"/>
        <v>0</v>
      </c>
      <c r="K286" s="88"/>
      <c r="L286" s="81"/>
      <c r="M286" s="81"/>
      <c r="N286" s="88"/>
      <c r="O286" s="77">
        <f t="shared" ref="O286:Q286" si="1313">AA286+AD286+AG286+AJ286+AM286+AP286+AS286+AV286+AY286+BB286+BE286+BH286</f>
        <v>0</v>
      </c>
      <c r="P286" s="77">
        <f t="shared" si="1313"/>
        <v>0</v>
      </c>
      <c r="Q286" s="77">
        <f t="shared" si="1313"/>
        <v>0</v>
      </c>
      <c r="R286" s="77">
        <f t="shared" ref="R286:T286" si="1314">IF(BK286=0,SUM(AA286+AD286+AG286+AJ286+AM286+AP286+AS286+AV286+AY286+BB286+BE286+BH286),BK286)</f>
        <v>0</v>
      </c>
      <c r="S286" s="77">
        <f t="shared" si="1314"/>
        <v>0</v>
      </c>
      <c r="T286" s="77">
        <f t="shared" si="1314"/>
        <v>0</v>
      </c>
      <c r="U286" s="79">
        <f t="shared" si="1293"/>
        <v>0</v>
      </c>
      <c r="V286" s="79">
        <f t="shared" si="1294"/>
        <v>0</v>
      </c>
      <c r="W286" s="79">
        <f t="shared" si="1295"/>
        <v>0</v>
      </c>
      <c r="X286" s="80">
        <f t="shared" ref="X286:Y286" si="1315">IF(O286&gt;0,O286/K286,0)</f>
        <v>0</v>
      </c>
      <c r="Y286" s="80">
        <f t="shared" si="1315"/>
        <v>0</v>
      </c>
      <c r="Z286" s="80">
        <f t="shared" si="1280"/>
        <v>0</v>
      </c>
      <c r="AA286" s="81"/>
      <c r="AB286" s="81"/>
      <c r="AC286" s="81"/>
      <c r="AD286" s="81"/>
      <c r="AE286" s="83"/>
      <c r="AF286" s="83"/>
      <c r="AG286" s="83"/>
      <c r="AH286" s="83"/>
      <c r="AI286" s="81"/>
      <c r="AJ286" s="81"/>
      <c r="AK286" s="81"/>
      <c r="AL286" s="81"/>
      <c r="AM286" s="81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1"/>
      <c r="BE286" s="81"/>
      <c r="BF286" s="81"/>
      <c r="BG286" s="81"/>
      <c r="BH286" s="81"/>
      <c r="BI286" s="81"/>
      <c r="BJ286" s="81"/>
      <c r="BK286" s="82">
        <v>0</v>
      </c>
      <c r="BL286" s="82">
        <v>0</v>
      </c>
      <c r="BM286" s="82">
        <v>0</v>
      </c>
      <c r="BN286" s="81">
        <f t="shared" si="1297"/>
        <v>0</v>
      </c>
      <c r="BO286" s="75">
        <f t="shared" si="1298"/>
        <v>0</v>
      </c>
      <c r="BP286" s="81">
        <f t="shared" si="1299"/>
        <v>0</v>
      </c>
      <c r="BQ286" s="81">
        <f t="shared" si="1300"/>
        <v>0</v>
      </c>
      <c r="BR286" s="81">
        <f t="shared" si="1301"/>
        <v>0</v>
      </c>
      <c r="BS286" s="81">
        <f t="shared" si="1302"/>
        <v>0</v>
      </c>
      <c r="BT286" s="81">
        <f t="shared" si="1303"/>
        <v>0</v>
      </c>
      <c r="BU286" s="81">
        <f t="shared" si="1304"/>
        <v>0</v>
      </c>
      <c r="BV286" s="81">
        <f t="shared" si="1305"/>
        <v>0</v>
      </c>
      <c r="BW286" s="81">
        <f t="shared" si="1306"/>
        <v>0</v>
      </c>
      <c r="BX286" s="1"/>
      <c r="BY286" s="1"/>
      <c r="BZ286" s="1"/>
      <c r="CA286" s="1"/>
      <c r="CB286" s="1"/>
      <c r="CC286" s="1"/>
      <c r="CD286" s="1"/>
      <c r="CE286" s="1"/>
      <c r="CF286" s="1"/>
      <c r="CG286" s="1"/>
    </row>
    <row r="287" spans="1:85" ht="15.75">
      <c r="A287" s="109"/>
      <c r="B287" s="110"/>
      <c r="C287" s="111"/>
      <c r="D287" s="112" t="s">
        <v>357</v>
      </c>
      <c r="E287" s="58">
        <f t="shared" ref="E287:H287" si="1316">SUM(E288:E289)</f>
        <v>0</v>
      </c>
      <c r="F287" s="58">
        <f t="shared" si="1316"/>
        <v>0</v>
      </c>
      <c r="G287" s="58">
        <f t="shared" si="1316"/>
        <v>0</v>
      </c>
      <c r="H287" s="58">
        <f t="shared" si="1316"/>
        <v>0</v>
      </c>
      <c r="I287" s="60">
        <f t="shared" si="1276"/>
        <v>0</v>
      </c>
      <c r="J287" s="60">
        <f t="shared" si="1277"/>
        <v>0</v>
      </c>
      <c r="K287" s="58">
        <f t="shared" ref="K287:W287" si="1317">SUM(K288:K289)</f>
        <v>1300.42</v>
      </c>
      <c r="L287" s="58">
        <f t="shared" si="1317"/>
        <v>12120</v>
      </c>
      <c r="M287" s="58">
        <f t="shared" si="1317"/>
        <v>0</v>
      </c>
      <c r="N287" s="58">
        <f t="shared" si="1317"/>
        <v>0</v>
      </c>
      <c r="O287" s="58">
        <f t="shared" si="1317"/>
        <v>1300.42</v>
      </c>
      <c r="P287" s="58">
        <f t="shared" si="1317"/>
        <v>0</v>
      </c>
      <c r="Q287" s="58">
        <f t="shared" si="1317"/>
        <v>0</v>
      </c>
      <c r="R287" s="58">
        <f t="shared" si="1317"/>
        <v>1300.42</v>
      </c>
      <c r="S287" s="58">
        <f t="shared" si="1317"/>
        <v>0</v>
      </c>
      <c r="T287" s="58">
        <f t="shared" si="1317"/>
        <v>0</v>
      </c>
      <c r="U287" s="58">
        <f t="shared" si="1317"/>
        <v>0</v>
      </c>
      <c r="V287" s="58">
        <f t="shared" si="1317"/>
        <v>12120</v>
      </c>
      <c r="W287" s="58">
        <f t="shared" si="1317"/>
        <v>0</v>
      </c>
      <c r="X287" s="63">
        <f t="shared" ref="X287:Y287" si="1318">IF(O287&gt;0,O287/K287,0)</f>
        <v>1</v>
      </c>
      <c r="Y287" s="63">
        <f t="shared" si="1318"/>
        <v>0</v>
      </c>
      <c r="Z287" s="63">
        <f t="shared" si="1280"/>
        <v>0</v>
      </c>
      <c r="AA287" s="58">
        <f t="shared" ref="AA287:BW287" si="1319">SUM(AA288:AA289)</f>
        <v>0</v>
      </c>
      <c r="AB287" s="58">
        <f t="shared" si="1319"/>
        <v>0</v>
      </c>
      <c r="AC287" s="58">
        <f t="shared" si="1319"/>
        <v>0</v>
      </c>
      <c r="AD287" s="58">
        <f t="shared" si="1319"/>
        <v>0</v>
      </c>
      <c r="AE287" s="58">
        <f t="shared" si="1319"/>
        <v>0</v>
      </c>
      <c r="AF287" s="58">
        <f t="shared" si="1319"/>
        <v>0</v>
      </c>
      <c r="AG287" s="58">
        <f t="shared" si="1319"/>
        <v>525</v>
      </c>
      <c r="AH287" s="58">
        <f t="shared" si="1319"/>
        <v>0</v>
      </c>
      <c r="AI287" s="58">
        <f t="shared" si="1319"/>
        <v>0</v>
      </c>
      <c r="AJ287" s="58">
        <f t="shared" si="1319"/>
        <v>0</v>
      </c>
      <c r="AK287" s="58">
        <f t="shared" si="1319"/>
        <v>0</v>
      </c>
      <c r="AL287" s="58">
        <f t="shared" si="1319"/>
        <v>0</v>
      </c>
      <c r="AM287" s="58">
        <f t="shared" si="1319"/>
        <v>0</v>
      </c>
      <c r="AN287" s="58">
        <f t="shared" si="1319"/>
        <v>0</v>
      </c>
      <c r="AO287" s="58">
        <f t="shared" si="1319"/>
        <v>0</v>
      </c>
      <c r="AP287" s="58">
        <f t="shared" si="1319"/>
        <v>0</v>
      </c>
      <c r="AQ287" s="58">
        <f t="shared" si="1319"/>
        <v>0</v>
      </c>
      <c r="AR287" s="58">
        <f t="shared" si="1319"/>
        <v>0</v>
      </c>
      <c r="AS287" s="58">
        <f t="shared" si="1319"/>
        <v>134.56</v>
      </c>
      <c r="AT287" s="58">
        <f t="shared" si="1319"/>
        <v>0</v>
      </c>
      <c r="AU287" s="58">
        <f t="shared" si="1319"/>
        <v>0</v>
      </c>
      <c r="AV287" s="58">
        <f t="shared" si="1319"/>
        <v>39</v>
      </c>
      <c r="AW287" s="58">
        <f t="shared" si="1319"/>
        <v>0</v>
      </c>
      <c r="AX287" s="58">
        <f t="shared" si="1319"/>
        <v>0</v>
      </c>
      <c r="AY287" s="58">
        <f t="shared" si="1319"/>
        <v>245</v>
      </c>
      <c r="AZ287" s="58">
        <f t="shared" si="1319"/>
        <v>0</v>
      </c>
      <c r="BA287" s="58">
        <f t="shared" si="1319"/>
        <v>0</v>
      </c>
      <c r="BB287" s="58">
        <f t="shared" si="1319"/>
        <v>0</v>
      </c>
      <c r="BC287" s="58">
        <f t="shared" si="1319"/>
        <v>0</v>
      </c>
      <c r="BD287" s="58">
        <f t="shared" si="1319"/>
        <v>0</v>
      </c>
      <c r="BE287" s="58">
        <f t="shared" si="1319"/>
        <v>356.86</v>
      </c>
      <c r="BF287" s="58">
        <f t="shared" si="1319"/>
        <v>0</v>
      </c>
      <c r="BG287" s="58">
        <f t="shared" si="1319"/>
        <v>0</v>
      </c>
      <c r="BH287" s="58">
        <f t="shared" si="1319"/>
        <v>0</v>
      </c>
      <c r="BI287" s="58">
        <f t="shared" si="1319"/>
        <v>0</v>
      </c>
      <c r="BJ287" s="58">
        <f t="shared" si="1319"/>
        <v>0</v>
      </c>
      <c r="BK287" s="58">
        <f t="shared" si="1319"/>
        <v>1300.42</v>
      </c>
      <c r="BL287" s="58">
        <f t="shared" si="1319"/>
        <v>0</v>
      </c>
      <c r="BM287" s="58">
        <f t="shared" si="1319"/>
        <v>0</v>
      </c>
      <c r="BN287" s="58">
        <f t="shared" si="1319"/>
        <v>0</v>
      </c>
      <c r="BO287" s="58">
        <f t="shared" si="1319"/>
        <v>0</v>
      </c>
      <c r="BP287" s="58">
        <f t="shared" si="1319"/>
        <v>0</v>
      </c>
      <c r="BQ287" s="58">
        <f t="shared" si="1319"/>
        <v>0</v>
      </c>
      <c r="BR287" s="58">
        <f t="shared" si="1319"/>
        <v>0</v>
      </c>
      <c r="BS287" s="58">
        <f t="shared" si="1319"/>
        <v>0</v>
      </c>
      <c r="BT287" s="58">
        <f t="shared" si="1319"/>
        <v>12120</v>
      </c>
      <c r="BU287" s="58">
        <f t="shared" si="1319"/>
        <v>0</v>
      </c>
      <c r="BV287" s="58">
        <f t="shared" si="1319"/>
        <v>0</v>
      </c>
      <c r="BW287" s="58">
        <f t="shared" si="1319"/>
        <v>12120</v>
      </c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</row>
    <row r="288" spans="1:85" ht="15.75" customHeight="1">
      <c r="A288" s="125"/>
      <c r="B288" s="125" t="s">
        <v>573</v>
      </c>
      <c r="C288" s="129" t="s">
        <v>574</v>
      </c>
      <c r="D288" s="150" t="s">
        <v>575</v>
      </c>
      <c r="E288" s="70">
        <v>0</v>
      </c>
      <c r="F288" s="70"/>
      <c r="G288" s="70">
        <f t="shared" ref="G288:G289" si="1320">E288-F288</f>
        <v>0</v>
      </c>
      <c r="H288" s="70"/>
      <c r="I288" s="187">
        <f t="shared" si="1276"/>
        <v>0</v>
      </c>
      <c r="J288" s="187">
        <f t="shared" si="1277"/>
        <v>0</v>
      </c>
      <c r="K288" s="73">
        <v>0</v>
      </c>
      <c r="L288" s="73">
        <v>12120</v>
      </c>
      <c r="M288" s="88"/>
      <c r="N288" s="88"/>
      <c r="O288" s="79">
        <f t="shared" ref="O288:Q288" si="1321">AA288+AD288+AG288+AJ288+AM288+AP288+AS288+AV288+AY288+BB288+BE288+BH288</f>
        <v>0</v>
      </c>
      <c r="P288" s="79">
        <f t="shared" si="1321"/>
        <v>0</v>
      </c>
      <c r="Q288" s="79">
        <f t="shared" si="1321"/>
        <v>0</v>
      </c>
      <c r="R288" s="79">
        <f t="shared" ref="R288:T288" si="1322">IF(BK288=0,SUM(AA288+AD288+AG288+AJ288+AM288+AP288+AS288+AV288+AY288+BB288+BE288+BH288),BK288)</f>
        <v>0</v>
      </c>
      <c r="S288" s="79">
        <f t="shared" si="1322"/>
        <v>0</v>
      </c>
      <c r="T288" s="79">
        <f t="shared" si="1322"/>
        <v>0</v>
      </c>
      <c r="U288" s="78">
        <f t="shared" ref="U288:U289" si="1323">K288-O288</f>
        <v>0</v>
      </c>
      <c r="V288" s="79">
        <f t="shared" ref="V288:V289" si="1324">L288-M288-S288</f>
        <v>12120</v>
      </c>
      <c r="W288" s="79">
        <f t="shared" ref="W288:W289" si="1325">N288-Q288</f>
        <v>0</v>
      </c>
      <c r="X288" s="188">
        <f t="shared" ref="X288:Y288" si="1326">IF(O288&gt;0,O288/K288,0)</f>
        <v>0</v>
      </c>
      <c r="Y288" s="188">
        <f t="shared" si="1326"/>
        <v>0</v>
      </c>
      <c r="Z288" s="188">
        <f t="shared" si="1280"/>
        <v>0</v>
      </c>
      <c r="AA288" s="88"/>
      <c r="AB288" s="88"/>
      <c r="AC288" s="88"/>
      <c r="AD288" s="88"/>
      <c r="AE288" s="189"/>
      <c r="AF288" s="189"/>
      <c r="AG288" s="189"/>
      <c r="AH288" s="189"/>
      <c r="AI288" s="88"/>
      <c r="AJ288" s="88"/>
      <c r="AK288" s="88"/>
      <c r="AL288" s="88"/>
      <c r="AM288" s="88"/>
      <c r="AN288" s="88"/>
      <c r="AO288" s="88"/>
      <c r="AP288" s="88"/>
      <c r="AQ288" s="88"/>
      <c r="AR288" s="88"/>
      <c r="AS288" s="73"/>
      <c r="AT288" s="88"/>
      <c r="AU288" s="88"/>
      <c r="AV288" s="88"/>
      <c r="AW288" s="88"/>
      <c r="AX288" s="88"/>
      <c r="AY288" s="88"/>
      <c r="AZ288" s="88"/>
      <c r="BA288" s="88"/>
      <c r="BB288" s="88"/>
      <c r="BC288" s="88"/>
      <c r="BD288" s="88"/>
      <c r="BE288" s="88"/>
      <c r="BF288" s="88"/>
      <c r="BG288" s="88"/>
      <c r="BH288" s="88"/>
      <c r="BI288" s="88"/>
      <c r="BJ288" s="88"/>
      <c r="BK288" s="82"/>
      <c r="BL288" s="82">
        <v>0</v>
      </c>
      <c r="BM288" s="82">
        <v>0</v>
      </c>
      <c r="BN288" s="81">
        <f t="shared" ref="BN288:BN289" si="1327">IF(O288-BK288&gt;0,O288-BK288,0)</f>
        <v>0</v>
      </c>
      <c r="BO288" s="75">
        <f t="shared" ref="BO288:BO289" si="1328">IF(Q288-BM288&gt;0,Q288-BM288,0)</f>
        <v>0</v>
      </c>
      <c r="BP288" s="81">
        <f t="shared" ref="BP288:BP289" si="1329">IF(BN288+BO288&gt;0,BN288+BO288,0)</f>
        <v>0</v>
      </c>
      <c r="BQ288" s="81">
        <f t="shared" ref="BQ288:BQ289" si="1330">IF(U288=0,0,U288)</f>
        <v>0</v>
      </c>
      <c r="BR288" s="81">
        <f t="shared" ref="BR288:BR289" si="1331">IF(W288=0,0,W288)</f>
        <v>0</v>
      </c>
      <c r="BS288" s="81">
        <f t="shared" ref="BS288:BS289" si="1332">IF(BQ288+BR288&gt;0,BQ288+BR288,0)</f>
        <v>0</v>
      </c>
      <c r="BT288" s="138">
        <f t="shared" ref="BT288:BT289" si="1333">IF(V288&gt;0,V288,0)</f>
        <v>12120</v>
      </c>
      <c r="BU288" s="81">
        <f t="shared" ref="BU288:BU289" si="1334">IF(BP288=0,0,BP288)</f>
        <v>0</v>
      </c>
      <c r="BV288" s="81">
        <f t="shared" ref="BV288:BV289" si="1335">IF(BS288=0,0,BS288)</f>
        <v>0</v>
      </c>
      <c r="BW288" s="81">
        <f t="shared" ref="BW288:BW289" si="1336">IF(BP288+BT288+BV288&gt;0,BP288+BT288+BV288,0)</f>
        <v>12120</v>
      </c>
      <c r="BX288" s="190"/>
      <c r="BY288" s="190"/>
      <c r="BZ288" s="190"/>
      <c r="CA288" s="190"/>
      <c r="CB288" s="190"/>
      <c r="CC288" s="190"/>
      <c r="CD288" s="190"/>
      <c r="CE288" s="190"/>
      <c r="CF288" s="190"/>
      <c r="CG288" s="190"/>
    </row>
    <row r="289" spans="1:85" ht="15.75" customHeight="1">
      <c r="A289" s="125" t="s">
        <v>576</v>
      </c>
      <c r="B289" s="84"/>
      <c r="C289" s="86" t="s">
        <v>359</v>
      </c>
      <c r="D289" s="317" t="s">
        <v>577</v>
      </c>
      <c r="E289" s="70">
        <v>0</v>
      </c>
      <c r="F289" s="70"/>
      <c r="G289" s="70">
        <f t="shared" si="1320"/>
        <v>0</v>
      </c>
      <c r="H289" s="70"/>
      <c r="I289" s="187">
        <f t="shared" si="1276"/>
        <v>0</v>
      </c>
      <c r="J289" s="187">
        <f t="shared" si="1277"/>
        <v>0</v>
      </c>
      <c r="K289" s="73">
        <f>1000+43.57+256.85</f>
        <v>1300.42</v>
      </c>
      <c r="L289" s="88"/>
      <c r="M289" s="88"/>
      <c r="N289" s="88"/>
      <c r="O289" s="79">
        <f t="shared" ref="O289:Q289" si="1337">AA289+AD289+AG289+AJ289+AM289+AP289+AS289+AV289+AY289+BB289+BE289+BH289</f>
        <v>1300.42</v>
      </c>
      <c r="P289" s="79">
        <f t="shared" si="1337"/>
        <v>0</v>
      </c>
      <c r="Q289" s="79">
        <f t="shared" si="1337"/>
        <v>0</v>
      </c>
      <c r="R289" s="79">
        <f t="shared" ref="R289:T289" si="1338">IF(BK289=0,SUM(AA289+AD289+AG289+AJ289+AM289+AP289+AS289+AV289+AY289+BB289+BE289+BH289),BK289)</f>
        <v>1300.42</v>
      </c>
      <c r="S289" s="79">
        <f t="shared" si="1338"/>
        <v>0</v>
      </c>
      <c r="T289" s="79">
        <f t="shared" si="1338"/>
        <v>0</v>
      </c>
      <c r="U289" s="78">
        <f t="shared" si="1323"/>
        <v>0</v>
      </c>
      <c r="V289" s="79">
        <f t="shared" si="1324"/>
        <v>0</v>
      </c>
      <c r="W289" s="79">
        <f t="shared" si="1325"/>
        <v>0</v>
      </c>
      <c r="X289" s="188">
        <f t="shared" ref="X289:Y289" si="1339">IF(O289&gt;0,O289/K289,0)</f>
        <v>1</v>
      </c>
      <c r="Y289" s="188">
        <f t="shared" si="1339"/>
        <v>0</v>
      </c>
      <c r="Z289" s="188">
        <f t="shared" si="1280"/>
        <v>0</v>
      </c>
      <c r="AA289" s="88"/>
      <c r="AB289" s="88"/>
      <c r="AC289" s="88"/>
      <c r="AD289" s="88"/>
      <c r="AE289" s="189"/>
      <c r="AF289" s="189"/>
      <c r="AG289" s="189">
        <f>455+70</f>
        <v>525</v>
      </c>
      <c r="AH289" s="189"/>
      <c r="AI289" s="88"/>
      <c r="AJ289" s="88"/>
      <c r="AK289" s="88"/>
      <c r="AL289" s="88"/>
      <c r="AM289" s="88"/>
      <c r="AN289" s="88"/>
      <c r="AO289" s="88"/>
      <c r="AP289" s="88"/>
      <c r="AQ289" s="88"/>
      <c r="AR289" s="88"/>
      <c r="AS289" s="73">
        <v>134.56</v>
      </c>
      <c r="AT289" s="88"/>
      <c r="AU289" s="88"/>
      <c r="AV289" s="88">
        <f>39</f>
        <v>39</v>
      </c>
      <c r="AW289" s="88"/>
      <c r="AX289" s="88"/>
      <c r="AY289" s="88">
        <f>245</f>
        <v>245</v>
      </c>
      <c r="AZ289" s="88"/>
      <c r="BA289" s="88"/>
      <c r="BB289" s="88"/>
      <c r="BC289" s="88"/>
      <c r="BD289" s="88"/>
      <c r="BE289" s="88">
        <f>100.01+256.85</f>
        <v>356.86</v>
      </c>
      <c r="BF289" s="88"/>
      <c r="BG289" s="88"/>
      <c r="BH289" s="88"/>
      <c r="BI289" s="88"/>
      <c r="BJ289" s="88"/>
      <c r="BK289" s="82">
        <v>1300.42</v>
      </c>
      <c r="BL289" s="82">
        <v>0</v>
      </c>
      <c r="BM289" s="82">
        <v>0</v>
      </c>
      <c r="BN289" s="81">
        <f t="shared" si="1327"/>
        <v>0</v>
      </c>
      <c r="BO289" s="75">
        <f t="shared" si="1328"/>
        <v>0</v>
      </c>
      <c r="BP289" s="81">
        <f t="shared" si="1329"/>
        <v>0</v>
      </c>
      <c r="BQ289" s="81">
        <f t="shared" si="1330"/>
        <v>0</v>
      </c>
      <c r="BR289" s="81">
        <f t="shared" si="1331"/>
        <v>0</v>
      </c>
      <c r="BS289" s="81">
        <f t="shared" si="1332"/>
        <v>0</v>
      </c>
      <c r="BT289" s="81">
        <f t="shared" si="1333"/>
        <v>0</v>
      </c>
      <c r="BU289" s="81">
        <f t="shared" si="1334"/>
        <v>0</v>
      </c>
      <c r="BV289" s="81">
        <f t="shared" si="1335"/>
        <v>0</v>
      </c>
      <c r="BW289" s="81">
        <f t="shared" si="1336"/>
        <v>0</v>
      </c>
      <c r="BX289" s="190"/>
      <c r="BY289" s="190"/>
      <c r="BZ289" s="190"/>
      <c r="CA289" s="190"/>
      <c r="CB289" s="190"/>
      <c r="CC289" s="190"/>
      <c r="CD289" s="190"/>
      <c r="CE289" s="190"/>
      <c r="CF289" s="190"/>
      <c r="CG289" s="190"/>
    </row>
    <row r="290" spans="1:85" ht="15.75">
      <c r="A290" s="109"/>
      <c r="B290" s="110"/>
      <c r="C290" s="111"/>
      <c r="D290" s="112" t="s">
        <v>128</v>
      </c>
      <c r="E290" s="58">
        <f t="shared" ref="E290:H290" si="1340">SUM(E291:E309)</f>
        <v>45500</v>
      </c>
      <c r="F290" s="58">
        <f t="shared" si="1340"/>
        <v>0</v>
      </c>
      <c r="G290" s="58">
        <f t="shared" si="1340"/>
        <v>45500</v>
      </c>
      <c r="H290" s="58">
        <f t="shared" si="1340"/>
        <v>0</v>
      </c>
      <c r="I290" s="60">
        <f t="shared" si="1276"/>
        <v>0.34487142857142855</v>
      </c>
      <c r="J290" s="60">
        <f t="shared" si="1277"/>
        <v>0.34487142857142855</v>
      </c>
      <c r="K290" s="58">
        <f t="shared" ref="K290:W290" si="1341">SUM(K291:K309)</f>
        <v>15691.65</v>
      </c>
      <c r="L290" s="58">
        <f t="shared" si="1341"/>
        <v>0</v>
      </c>
      <c r="M290" s="58">
        <f t="shared" si="1341"/>
        <v>0</v>
      </c>
      <c r="N290" s="58">
        <f t="shared" si="1341"/>
        <v>0</v>
      </c>
      <c r="O290" s="58">
        <f t="shared" si="1341"/>
        <v>15691.65</v>
      </c>
      <c r="P290" s="58">
        <f t="shared" si="1341"/>
        <v>0</v>
      </c>
      <c r="Q290" s="58">
        <f t="shared" si="1341"/>
        <v>0</v>
      </c>
      <c r="R290" s="58">
        <f t="shared" si="1341"/>
        <v>15691.65</v>
      </c>
      <c r="S290" s="58">
        <f t="shared" si="1341"/>
        <v>0</v>
      </c>
      <c r="T290" s="58">
        <f t="shared" si="1341"/>
        <v>0</v>
      </c>
      <c r="U290" s="58">
        <f t="shared" si="1341"/>
        <v>0</v>
      </c>
      <c r="V290" s="58">
        <f t="shared" si="1341"/>
        <v>0</v>
      </c>
      <c r="W290" s="58">
        <f t="shared" si="1341"/>
        <v>0</v>
      </c>
      <c r="X290" s="63">
        <f t="shared" ref="X290:Y290" si="1342">IF(O290&gt;0,O290/K290,0)</f>
        <v>1</v>
      </c>
      <c r="Y290" s="63">
        <f t="shared" si="1342"/>
        <v>0</v>
      </c>
      <c r="Z290" s="63">
        <f t="shared" si="1280"/>
        <v>0</v>
      </c>
      <c r="AA290" s="58">
        <f t="shared" ref="AA290:BW290" si="1343">SUM(AA291:AA309)</f>
        <v>0</v>
      </c>
      <c r="AB290" s="58">
        <f t="shared" si="1343"/>
        <v>0</v>
      </c>
      <c r="AC290" s="58">
        <f t="shared" si="1343"/>
        <v>0</v>
      </c>
      <c r="AD290" s="58">
        <f t="shared" si="1343"/>
        <v>0</v>
      </c>
      <c r="AE290" s="58">
        <f t="shared" si="1343"/>
        <v>0</v>
      </c>
      <c r="AF290" s="58">
        <f t="shared" si="1343"/>
        <v>0</v>
      </c>
      <c r="AG290" s="58">
        <f t="shared" si="1343"/>
        <v>0</v>
      </c>
      <c r="AH290" s="58">
        <f t="shared" si="1343"/>
        <v>0</v>
      </c>
      <c r="AI290" s="58">
        <f t="shared" si="1343"/>
        <v>0</v>
      </c>
      <c r="AJ290" s="58">
        <f t="shared" si="1343"/>
        <v>0</v>
      </c>
      <c r="AK290" s="58">
        <f t="shared" si="1343"/>
        <v>0</v>
      </c>
      <c r="AL290" s="58">
        <f t="shared" si="1343"/>
        <v>0</v>
      </c>
      <c r="AM290" s="58">
        <f t="shared" si="1343"/>
        <v>0</v>
      </c>
      <c r="AN290" s="58">
        <f t="shared" si="1343"/>
        <v>0</v>
      </c>
      <c r="AO290" s="58">
        <f t="shared" si="1343"/>
        <v>0</v>
      </c>
      <c r="AP290" s="58">
        <f t="shared" si="1343"/>
        <v>56.96</v>
      </c>
      <c r="AQ290" s="58">
        <f t="shared" si="1343"/>
        <v>0</v>
      </c>
      <c r="AR290" s="58">
        <f t="shared" si="1343"/>
        <v>0</v>
      </c>
      <c r="AS290" s="58">
        <f t="shared" si="1343"/>
        <v>381</v>
      </c>
      <c r="AT290" s="58">
        <f t="shared" si="1343"/>
        <v>0</v>
      </c>
      <c r="AU290" s="58">
        <f t="shared" si="1343"/>
        <v>0</v>
      </c>
      <c r="AV290" s="58">
        <f t="shared" si="1343"/>
        <v>4669.2</v>
      </c>
      <c r="AW290" s="58">
        <f t="shared" si="1343"/>
        <v>0</v>
      </c>
      <c r="AX290" s="58">
        <f t="shared" si="1343"/>
        <v>0</v>
      </c>
      <c r="AY290" s="58">
        <f t="shared" si="1343"/>
        <v>7034.49</v>
      </c>
      <c r="AZ290" s="58">
        <f t="shared" si="1343"/>
        <v>0</v>
      </c>
      <c r="BA290" s="58">
        <f t="shared" si="1343"/>
        <v>0</v>
      </c>
      <c r="BB290" s="58">
        <f t="shared" si="1343"/>
        <v>1962</v>
      </c>
      <c r="BC290" s="58">
        <f t="shared" si="1343"/>
        <v>0</v>
      </c>
      <c r="BD290" s="58">
        <f t="shared" si="1343"/>
        <v>0</v>
      </c>
      <c r="BE290" s="58">
        <f t="shared" si="1343"/>
        <v>1588</v>
      </c>
      <c r="BF290" s="58">
        <f t="shared" si="1343"/>
        <v>0</v>
      </c>
      <c r="BG290" s="58">
        <f t="shared" si="1343"/>
        <v>0</v>
      </c>
      <c r="BH290" s="58">
        <f t="shared" si="1343"/>
        <v>0</v>
      </c>
      <c r="BI290" s="58">
        <f t="shared" si="1343"/>
        <v>0</v>
      </c>
      <c r="BJ290" s="58">
        <f t="shared" si="1343"/>
        <v>0</v>
      </c>
      <c r="BK290" s="58">
        <f t="shared" si="1343"/>
        <v>15691.65</v>
      </c>
      <c r="BL290" s="58">
        <f t="shared" si="1343"/>
        <v>0</v>
      </c>
      <c r="BM290" s="58">
        <f t="shared" si="1343"/>
        <v>0</v>
      </c>
      <c r="BN290" s="58">
        <f t="shared" si="1343"/>
        <v>0</v>
      </c>
      <c r="BO290" s="58">
        <f t="shared" si="1343"/>
        <v>0</v>
      </c>
      <c r="BP290" s="58">
        <f t="shared" si="1343"/>
        <v>0</v>
      </c>
      <c r="BQ290" s="58">
        <f t="shared" si="1343"/>
        <v>0</v>
      </c>
      <c r="BR290" s="58">
        <f t="shared" si="1343"/>
        <v>0</v>
      </c>
      <c r="BS290" s="58">
        <f t="shared" si="1343"/>
        <v>0</v>
      </c>
      <c r="BT290" s="58">
        <f t="shared" si="1343"/>
        <v>0</v>
      </c>
      <c r="BU290" s="58">
        <f t="shared" si="1343"/>
        <v>0</v>
      </c>
      <c r="BV290" s="58">
        <f t="shared" si="1343"/>
        <v>0</v>
      </c>
      <c r="BW290" s="58">
        <f t="shared" si="1343"/>
        <v>0</v>
      </c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</row>
    <row r="291" spans="1:85" ht="15.75" customHeight="1">
      <c r="A291" s="84"/>
      <c r="B291" s="85"/>
      <c r="C291" s="86" t="s">
        <v>129</v>
      </c>
      <c r="D291" s="87" t="s">
        <v>130</v>
      </c>
      <c r="E291" s="70">
        <v>2500</v>
      </c>
      <c r="F291" s="71"/>
      <c r="G291" s="71">
        <f t="shared" ref="G291:G309" si="1344">E291-F291</f>
        <v>2500</v>
      </c>
      <c r="H291" s="70"/>
      <c r="I291" s="72">
        <f t="shared" si="1276"/>
        <v>0</v>
      </c>
      <c r="J291" s="72">
        <f t="shared" si="1277"/>
        <v>0</v>
      </c>
      <c r="K291" s="88"/>
      <c r="L291" s="81"/>
      <c r="M291" s="81"/>
      <c r="N291" s="88"/>
      <c r="O291" s="77">
        <f t="shared" ref="O291:Q291" si="1345">AA291+AD291+AG291+AJ291+AM291+AP291+AS291+AV291+AY291+BB291+BE291+BH291</f>
        <v>0</v>
      </c>
      <c r="P291" s="77">
        <f t="shared" si="1345"/>
        <v>0</v>
      </c>
      <c r="Q291" s="77">
        <f t="shared" si="1345"/>
        <v>0</v>
      </c>
      <c r="R291" s="77">
        <f t="shared" ref="R291:T291" si="1346">IF(BK291=0,SUM(AA291+AD291+AG291+AJ291+AM291+AP291+AS291+AV291+AY291+BB291+BE291+BH291),BK291)</f>
        <v>0</v>
      </c>
      <c r="S291" s="77">
        <f t="shared" si="1346"/>
        <v>0</v>
      </c>
      <c r="T291" s="77">
        <f t="shared" si="1346"/>
        <v>0</v>
      </c>
      <c r="U291" s="79">
        <f t="shared" ref="U291:U309" si="1347">K291-O291</f>
        <v>0</v>
      </c>
      <c r="V291" s="79">
        <f t="shared" ref="V291:V309" si="1348">L291-M291-S291</f>
        <v>0</v>
      </c>
      <c r="W291" s="79">
        <f t="shared" ref="W291:W309" si="1349">N291-Q291</f>
        <v>0</v>
      </c>
      <c r="X291" s="80">
        <f t="shared" ref="X291:Y291" si="1350">IF(O291&gt;0,O291/K291,0)</f>
        <v>0</v>
      </c>
      <c r="Y291" s="80">
        <f t="shared" si="1350"/>
        <v>0</v>
      </c>
      <c r="Z291" s="80">
        <f t="shared" si="1280"/>
        <v>0</v>
      </c>
      <c r="AA291" s="81"/>
      <c r="AB291" s="81"/>
      <c r="AC291" s="81"/>
      <c r="AD291" s="81"/>
      <c r="AE291" s="83"/>
      <c r="AF291" s="83"/>
      <c r="AG291" s="83"/>
      <c r="AH291" s="83"/>
      <c r="AI291" s="81"/>
      <c r="AJ291" s="81"/>
      <c r="AK291" s="81"/>
      <c r="AL291" s="81"/>
      <c r="AM291" s="81"/>
      <c r="AN291" s="81"/>
      <c r="AO291" s="81"/>
      <c r="AP291" s="81"/>
      <c r="AQ291" s="81"/>
      <c r="AR291" s="81"/>
      <c r="AS291" s="81"/>
      <c r="AT291" s="81"/>
      <c r="AU291" s="81"/>
      <c r="AV291" s="81"/>
      <c r="AW291" s="81"/>
      <c r="AX291" s="81"/>
      <c r="AY291" s="81"/>
      <c r="AZ291" s="81"/>
      <c r="BA291" s="81"/>
      <c r="BB291" s="81"/>
      <c r="BC291" s="81"/>
      <c r="BD291" s="81"/>
      <c r="BE291" s="81"/>
      <c r="BF291" s="81"/>
      <c r="BG291" s="81"/>
      <c r="BH291" s="81"/>
      <c r="BI291" s="81"/>
      <c r="BJ291" s="81"/>
      <c r="BK291" s="82">
        <v>0</v>
      </c>
      <c r="BL291" s="82">
        <v>0</v>
      </c>
      <c r="BM291" s="82">
        <v>0</v>
      </c>
      <c r="BN291" s="81">
        <f t="shared" ref="BN291:BN309" si="1351">IF(O291-BK291&gt;0,O291-BK291,0)</f>
        <v>0</v>
      </c>
      <c r="BO291" s="75">
        <f t="shared" ref="BO291:BO309" si="1352">IF(Q291-BM291&gt;0,Q291-BM291,0)</f>
        <v>0</v>
      </c>
      <c r="BP291" s="81">
        <f t="shared" ref="BP291:BP309" si="1353">IF(BN291+BO291&gt;0,BN291+BO291,0)</f>
        <v>0</v>
      </c>
      <c r="BQ291" s="81">
        <f t="shared" ref="BQ291:BQ309" si="1354">IF(U291=0,0,U291)</f>
        <v>0</v>
      </c>
      <c r="BR291" s="81">
        <f t="shared" ref="BR291:BR309" si="1355">IF(W291=0,0,W291)</f>
        <v>0</v>
      </c>
      <c r="BS291" s="81">
        <f t="shared" ref="BS291:BS309" si="1356">IF(BQ291+BR291&gt;0,BQ291+BR291,0)</f>
        <v>0</v>
      </c>
      <c r="BT291" s="81">
        <f t="shared" ref="BT291:BT309" si="1357">IF(V291&gt;0,V291,0)</f>
        <v>0</v>
      </c>
      <c r="BU291" s="81">
        <f t="shared" ref="BU291:BU309" si="1358">IF(BP291=0,0,BP291)</f>
        <v>0</v>
      </c>
      <c r="BV291" s="81">
        <f t="shared" ref="BV291:BV309" si="1359">IF(BS291=0,0,BS291)</f>
        <v>0</v>
      </c>
      <c r="BW291" s="81">
        <f t="shared" ref="BW291:BW309" si="1360">IF(BP291+BT291+BV291&gt;0,BP291+BT291+BV291,0)</f>
        <v>0</v>
      </c>
      <c r="BX291" s="1"/>
      <c r="BY291" s="1"/>
      <c r="BZ291" s="1"/>
      <c r="CA291" s="1"/>
      <c r="CB291" s="1"/>
      <c r="CC291" s="1"/>
      <c r="CD291" s="1"/>
      <c r="CE291" s="1"/>
      <c r="CF291" s="1"/>
      <c r="CG291" s="1"/>
    </row>
    <row r="292" spans="1:85" ht="15.75" customHeight="1">
      <c r="A292" s="84"/>
      <c r="B292" s="85"/>
      <c r="C292" s="86" t="s">
        <v>578</v>
      </c>
      <c r="D292" s="292" t="s">
        <v>579</v>
      </c>
      <c r="E292" s="70">
        <f>5000</f>
        <v>5000</v>
      </c>
      <c r="F292" s="71"/>
      <c r="G292" s="71">
        <f t="shared" si="1344"/>
        <v>5000</v>
      </c>
      <c r="H292" s="70"/>
      <c r="I292" s="72">
        <f t="shared" si="1276"/>
        <v>0</v>
      </c>
      <c r="J292" s="72">
        <f t="shared" si="1277"/>
        <v>0</v>
      </c>
      <c r="K292" s="88"/>
      <c r="L292" s="81"/>
      <c r="M292" s="81"/>
      <c r="N292" s="88"/>
      <c r="O292" s="77">
        <f t="shared" ref="O292:Q292" si="1361">AA292+AD292+AG292+AJ292+AM292+AP292+AS292+AV292+AY292+BB292+BE292+BH292</f>
        <v>0</v>
      </c>
      <c r="P292" s="77">
        <f t="shared" si="1361"/>
        <v>0</v>
      </c>
      <c r="Q292" s="77">
        <f t="shared" si="1361"/>
        <v>0</v>
      </c>
      <c r="R292" s="77">
        <f t="shared" ref="R292:T292" si="1362">IF(BK292=0,SUM(AA292+AD292+AG292+AJ292+AM292+AP292+AS292+AV292+AY292+BB292+BE292+BH292),BK292)</f>
        <v>0</v>
      </c>
      <c r="S292" s="77">
        <f t="shared" si="1362"/>
        <v>0</v>
      </c>
      <c r="T292" s="77">
        <f t="shared" si="1362"/>
        <v>0</v>
      </c>
      <c r="U292" s="79">
        <f t="shared" si="1347"/>
        <v>0</v>
      </c>
      <c r="V292" s="79">
        <f t="shared" si="1348"/>
        <v>0</v>
      </c>
      <c r="W292" s="79">
        <f t="shared" si="1349"/>
        <v>0</v>
      </c>
      <c r="X292" s="80">
        <f t="shared" ref="X292:Y292" si="1363">IF(O292&gt;0,O292/K292,0)</f>
        <v>0</v>
      </c>
      <c r="Y292" s="80">
        <f t="shared" si="1363"/>
        <v>0</v>
      </c>
      <c r="Z292" s="80">
        <f t="shared" si="1280"/>
        <v>0</v>
      </c>
      <c r="AA292" s="81"/>
      <c r="AB292" s="81"/>
      <c r="AC292" s="81"/>
      <c r="AD292" s="81"/>
      <c r="AE292" s="83"/>
      <c r="AF292" s="83"/>
      <c r="AG292" s="83"/>
      <c r="AH292" s="83"/>
      <c r="AI292" s="81"/>
      <c r="AJ292" s="81"/>
      <c r="AK292" s="81"/>
      <c r="AL292" s="81"/>
      <c r="AM292" s="81"/>
      <c r="AN292" s="81"/>
      <c r="AO292" s="81"/>
      <c r="AP292" s="81"/>
      <c r="AQ292" s="81"/>
      <c r="AR292" s="81"/>
      <c r="AS292" s="81"/>
      <c r="AT292" s="81"/>
      <c r="AU292" s="81"/>
      <c r="AV292" s="81"/>
      <c r="AW292" s="81"/>
      <c r="AX292" s="81"/>
      <c r="AY292" s="81"/>
      <c r="AZ292" s="81"/>
      <c r="BA292" s="81"/>
      <c r="BB292" s="81"/>
      <c r="BC292" s="81"/>
      <c r="BD292" s="81"/>
      <c r="BE292" s="81"/>
      <c r="BF292" s="81"/>
      <c r="BG292" s="81"/>
      <c r="BH292" s="81"/>
      <c r="BI292" s="81"/>
      <c r="BJ292" s="81"/>
      <c r="BK292" s="82">
        <v>0</v>
      </c>
      <c r="BL292" s="82">
        <v>0</v>
      </c>
      <c r="BM292" s="82">
        <v>0</v>
      </c>
      <c r="BN292" s="81">
        <f t="shared" si="1351"/>
        <v>0</v>
      </c>
      <c r="BO292" s="75">
        <f t="shared" si="1352"/>
        <v>0</v>
      </c>
      <c r="BP292" s="81">
        <f t="shared" si="1353"/>
        <v>0</v>
      </c>
      <c r="BQ292" s="81">
        <f t="shared" si="1354"/>
        <v>0</v>
      </c>
      <c r="BR292" s="81">
        <f t="shared" si="1355"/>
        <v>0</v>
      </c>
      <c r="BS292" s="81">
        <f t="shared" si="1356"/>
        <v>0</v>
      </c>
      <c r="BT292" s="81">
        <f t="shared" si="1357"/>
        <v>0</v>
      </c>
      <c r="BU292" s="81">
        <f t="shared" si="1358"/>
        <v>0</v>
      </c>
      <c r="BV292" s="81">
        <f t="shared" si="1359"/>
        <v>0</v>
      </c>
      <c r="BW292" s="81">
        <f t="shared" si="1360"/>
        <v>0</v>
      </c>
      <c r="BX292" s="1"/>
      <c r="BY292" s="1"/>
      <c r="BZ292" s="1"/>
      <c r="CA292" s="1"/>
      <c r="CB292" s="1"/>
      <c r="CC292" s="1"/>
      <c r="CD292" s="1"/>
      <c r="CE292" s="1"/>
      <c r="CF292" s="1"/>
      <c r="CG292" s="1"/>
    </row>
    <row r="293" spans="1:85" ht="15.75" customHeight="1">
      <c r="A293" s="125" t="s">
        <v>580</v>
      </c>
      <c r="B293" s="85"/>
      <c r="C293" s="86" t="s">
        <v>581</v>
      </c>
      <c r="D293" s="135" t="s">
        <v>582</v>
      </c>
      <c r="E293" s="70">
        <v>10000</v>
      </c>
      <c r="F293" s="71"/>
      <c r="G293" s="71">
        <f t="shared" si="1344"/>
        <v>10000</v>
      </c>
      <c r="H293" s="70"/>
      <c r="I293" s="72">
        <f t="shared" si="1276"/>
        <v>2.46E-2</v>
      </c>
      <c r="J293" s="72">
        <f t="shared" si="1277"/>
        <v>2.46E-2</v>
      </c>
      <c r="K293" s="73">
        <v>246</v>
      </c>
      <c r="L293" s="81"/>
      <c r="M293" s="81"/>
      <c r="N293" s="88"/>
      <c r="O293" s="77">
        <f t="shared" ref="O293:Q293" si="1364">AA293+AD293+AG293+AJ293+AM293+AP293+AS293+AV293+AY293+BB293+BE293+BH293</f>
        <v>246</v>
      </c>
      <c r="P293" s="77">
        <f t="shared" si="1364"/>
        <v>0</v>
      </c>
      <c r="Q293" s="77">
        <f t="shared" si="1364"/>
        <v>0</v>
      </c>
      <c r="R293" s="77">
        <f t="shared" ref="R293:T293" si="1365">IF(BK293=0,SUM(AA293+AD293+AG293+AJ293+AM293+AP293+AS293+AV293+AY293+BB293+BE293+BH293),BK293)</f>
        <v>246</v>
      </c>
      <c r="S293" s="77">
        <f t="shared" si="1365"/>
        <v>0</v>
      </c>
      <c r="T293" s="77">
        <f t="shared" si="1365"/>
        <v>0</v>
      </c>
      <c r="U293" s="79">
        <f t="shared" si="1347"/>
        <v>0</v>
      </c>
      <c r="V293" s="79">
        <f t="shared" si="1348"/>
        <v>0</v>
      </c>
      <c r="W293" s="79">
        <f t="shared" si="1349"/>
        <v>0</v>
      </c>
      <c r="X293" s="80">
        <f t="shared" ref="X293:Y293" si="1366">IF(O293&gt;0,O293/K293,0)</f>
        <v>1</v>
      </c>
      <c r="Y293" s="80">
        <f t="shared" si="1366"/>
        <v>0</v>
      </c>
      <c r="Z293" s="80">
        <f t="shared" si="1280"/>
        <v>0</v>
      </c>
      <c r="AA293" s="81"/>
      <c r="AB293" s="81"/>
      <c r="AC293" s="81"/>
      <c r="AD293" s="81"/>
      <c r="AE293" s="83"/>
      <c r="AF293" s="83"/>
      <c r="AG293" s="83"/>
      <c r="AH293" s="83"/>
      <c r="AI293" s="81"/>
      <c r="AJ293" s="81"/>
      <c r="AK293" s="81"/>
      <c r="AL293" s="81"/>
      <c r="AM293" s="81"/>
      <c r="AN293" s="81"/>
      <c r="AO293" s="81"/>
      <c r="AP293" s="81"/>
      <c r="AQ293" s="81"/>
      <c r="AR293" s="81"/>
      <c r="AS293" s="82">
        <v>246</v>
      </c>
      <c r="AT293" s="81"/>
      <c r="AU293" s="81"/>
      <c r="AV293" s="81"/>
      <c r="AW293" s="81"/>
      <c r="AX293" s="81"/>
      <c r="AY293" s="81"/>
      <c r="AZ293" s="81"/>
      <c r="BA293" s="81"/>
      <c r="BB293" s="81"/>
      <c r="BC293" s="81"/>
      <c r="BD293" s="81"/>
      <c r="BE293" s="81"/>
      <c r="BF293" s="81"/>
      <c r="BG293" s="81"/>
      <c r="BH293" s="81"/>
      <c r="BI293" s="81"/>
      <c r="BJ293" s="81"/>
      <c r="BK293" s="82">
        <v>246</v>
      </c>
      <c r="BL293" s="82">
        <v>0</v>
      </c>
      <c r="BM293" s="82">
        <v>0</v>
      </c>
      <c r="BN293" s="81">
        <f t="shared" si="1351"/>
        <v>0</v>
      </c>
      <c r="BO293" s="75">
        <f t="shared" si="1352"/>
        <v>0</v>
      </c>
      <c r="BP293" s="81">
        <f t="shared" si="1353"/>
        <v>0</v>
      </c>
      <c r="BQ293" s="81">
        <f t="shared" si="1354"/>
        <v>0</v>
      </c>
      <c r="BR293" s="81">
        <f t="shared" si="1355"/>
        <v>0</v>
      </c>
      <c r="BS293" s="81">
        <f t="shared" si="1356"/>
        <v>0</v>
      </c>
      <c r="BT293" s="81">
        <f t="shared" si="1357"/>
        <v>0</v>
      </c>
      <c r="BU293" s="81">
        <f t="shared" si="1358"/>
        <v>0</v>
      </c>
      <c r="BV293" s="81">
        <f t="shared" si="1359"/>
        <v>0</v>
      </c>
      <c r="BW293" s="81">
        <f t="shared" si="1360"/>
        <v>0</v>
      </c>
      <c r="BX293" s="1"/>
      <c r="BY293" s="1"/>
      <c r="BZ293" s="1"/>
      <c r="CA293" s="1"/>
      <c r="CB293" s="1"/>
      <c r="CC293" s="1"/>
      <c r="CD293" s="1"/>
      <c r="CE293" s="1"/>
      <c r="CF293" s="1"/>
      <c r="CG293" s="1"/>
    </row>
    <row r="294" spans="1:85" ht="15.75" customHeight="1">
      <c r="A294" s="125" t="s">
        <v>583</v>
      </c>
      <c r="B294" s="85"/>
      <c r="C294" s="86" t="s">
        <v>581</v>
      </c>
      <c r="D294" s="318" t="s">
        <v>584</v>
      </c>
      <c r="E294" s="70"/>
      <c r="F294" s="71"/>
      <c r="G294" s="71">
        <f t="shared" si="1344"/>
        <v>0</v>
      </c>
      <c r="H294" s="70"/>
      <c r="I294" s="72">
        <f t="shared" si="1276"/>
        <v>0</v>
      </c>
      <c r="J294" s="72">
        <f t="shared" si="1277"/>
        <v>0</v>
      </c>
      <c r="K294" s="73">
        <v>2169.1999999999998</v>
      </c>
      <c r="L294" s="81"/>
      <c r="M294" s="81"/>
      <c r="N294" s="88"/>
      <c r="O294" s="77">
        <f t="shared" ref="O294:Q294" si="1367">AA294+AD294+AG294+AJ294+AM294+AP294+AS294+AV294+AY294+BB294+BE294+BH294</f>
        <v>2169.1999999999998</v>
      </c>
      <c r="P294" s="77">
        <f t="shared" si="1367"/>
        <v>0</v>
      </c>
      <c r="Q294" s="77">
        <f t="shared" si="1367"/>
        <v>0</v>
      </c>
      <c r="R294" s="77">
        <f t="shared" ref="R294:T294" si="1368">IF(BK294=0,SUM(AA294+AD294+AG294+AJ294+AM294+AP294+AS294+AV294+AY294+BB294+BE294+BH294),BK294)</f>
        <v>2169.1999999999998</v>
      </c>
      <c r="S294" s="77">
        <f t="shared" si="1368"/>
        <v>0</v>
      </c>
      <c r="T294" s="77">
        <f t="shared" si="1368"/>
        <v>0</v>
      </c>
      <c r="U294" s="78">
        <f t="shared" si="1347"/>
        <v>0</v>
      </c>
      <c r="V294" s="79">
        <f t="shared" si="1348"/>
        <v>0</v>
      </c>
      <c r="W294" s="79">
        <f t="shared" si="1349"/>
        <v>0</v>
      </c>
      <c r="X294" s="80">
        <f t="shared" ref="X294:Y294" si="1369">IF(O294&gt;0,O294/K294,0)</f>
        <v>1</v>
      </c>
      <c r="Y294" s="80">
        <f t="shared" si="1369"/>
        <v>0</v>
      </c>
      <c r="Z294" s="80">
        <f t="shared" si="1280"/>
        <v>0</v>
      </c>
      <c r="AA294" s="81"/>
      <c r="AB294" s="81"/>
      <c r="AC294" s="81"/>
      <c r="AD294" s="81"/>
      <c r="AE294" s="83"/>
      <c r="AF294" s="83"/>
      <c r="AG294" s="83"/>
      <c r="AH294" s="83"/>
      <c r="AI294" s="81"/>
      <c r="AJ294" s="81"/>
      <c r="AK294" s="81"/>
      <c r="AL294" s="81"/>
      <c r="AM294" s="81"/>
      <c r="AN294" s="81"/>
      <c r="AO294" s="81"/>
      <c r="AP294" s="81"/>
      <c r="AQ294" s="81"/>
      <c r="AR294" s="81"/>
      <c r="AS294" s="81"/>
      <c r="AT294" s="81"/>
      <c r="AU294" s="81"/>
      <c r="AV294" s="82">
        <v>2169.1999999999998</v>
      </c>
      <c r="AW294" s="81"/>
      <c r="AX294" s="81"/>
      <c r="AY294" s="81"/>
      <c r="AZ294" s="81"/>
      <c r="BA294" s="81"/>
      <c r="BB294" s="81"/>
      <c r="BC294" s="81"/>
      <c r="BD294" s="81"/>
      <c r="BE294" s="81"/>
      <c r="BF294" s="81"/>
      <c r="BG294" s="81"/>
      <c r="BH294" s="81"/>
      <c r="BI294" s="81"/>
      <c r="BJ294" s="81"/>
      <c r="BK294" s="82">
        <v>2169.1999999999998</v>
      </c>
      <c r="BL294" s="82">
        <v>0</v>
      </c>
      <c r="BM294" s="82">
        <v>0</v>
      </c>
      <c r="BN294" s="81">
        <f t="shared" si="1351"/>
        <v>0</v>
      </c>
      <c r="BO294" s="75">
        <f t="shared" si="1352"/>
        <v>0</v>
      </c>
      <c r="BP294" s="81">
        <f t="shared" si="1353"/>
        <v>0</v>
      </c>
      <c r="BQ294" s="81">
        <f t="shared" si="1354"/>
        <v>0</v>
      </c>
      <c r="BR294" s="81">
        <f t="shared" si="1355"/>
        <v>0</v>
      </c>
      <c r="BS294" s="81">
        <f t="shared" si="1356"/>
        <v>0</v>
      </c>
      <c r="BT294" s="81">
        <f t="shared" si="1357"/>
        <v>0</v>
      </c>
      <c r="BU294" s="81">
        <f t="shared" si="1358"/>
        <v>0</v>
      </c>
      <c r="BV294" s="81">
        <f t="shared" si="1359"/>
        <v>0</v>
      </c>
      <c r="BW294" s="81">
        <f t="shared" si="1360"/>
        <v>0</v>
      </c>
      <c r="BX294" s="1"/>
      <c r="BY294" s="1"/>
      <c r="BZ294" s="1"/>
      <c r="CA294" s="1"/>
      <c r="CB294" s="1"/>
      <c r="CC294" s="1"/>
      <c r="CD294" s="1"/>
      <c r="CE294" s="1"/>
      <c r="CF294" s="1"/>
      <c r="CG294" s="1"/>
    </row>
    <row r="295" spans="1:85" ht="15.75" customHeight="1">
      <c r="A295" s="125" t="s">
        <v>585</v>
      </c>
      <c r="B295" s="85"/>
      <c r="C295" s="86" t="s">
        <v>581</v>
      </c>
      <c r="D295" s="319" t="s">
        <v>586</v>
      </c>
      <c r="E295" s="70"/>
      <c r="F295" s="71"/>
      <c r="G295" s="71">
        <f t="shared" si="1344"/>
        <v>0</v>
      </c>
      <c r="H295" s="70"/>
      <c r="I295" s="72">
        <f t="shared" si="1276"/>
        <v>0</v>
      </c>
      <c r="J295" s="72">
        <f t="shared" si="1277"/>
        <v>0</v>
      </c>
      <c r="K295" s="73">
        <v>135</v>
      </c>
      <c r="L295" s="81"/>
      <c r="M295" s="81"/>
      <c r="N295" s="88"/>
      <c r="O295" s="77">
        <f t="shared" ref="O295:Q295" si="1370">AA295+AD295+AG295+AJ295+AM295+AP295+AS295+AV295+AY295+BB295+BE295+BH295</f>
        <v>135</v>
      </c>
      <c r="P295" s="77">
        <f t="shared" si="1370"/>
        <v>0</v>
      </c>
      <c r="Q295" s="77">
        <f t="shared" si="1370"/>
        <v>0</v>
      </c>
      <c r="R295" s="77">
        <f t="shared" ref="R295:T295" si="1371">IF(BK295=0,SUM(AA295+AD295+AG295+AJ295+AM295+AP295+AS295+AV295+AY295+BB295+BE295+BH295),BK295)</f>
        <v>135</v>
      </c>
      <c r="S295" s="77">
        <f t="shared" si="1371"/>
        <v>0</v>
      </c>
      <c r="T295" s="77">
        <f t="shared" si="1371"/>
        <v>0</v>
      </c>
      <c r="U295" s="79">
        <f t="shared" si="1347"/>
        <v>0</v>
      </c>
      <c r="V295" s="79">
        <f t="shared" si="1348"/>
        <v>0</v>
      </c>
      <c r="W295" s="79">
        <f t="shared" si="1349"/>
        <v>0</v>
      </c>
      <c r="X295" s="80">
        <f t="shared" ref="X295:Y295" si="1372">IF(O295&gt;0,O295/K295,0)</f>
        <v>1</v>
      </c>
      <c r="Y295" s="80">
        <f t="shared" si="1372"/>
        <v>0</v>
      </c>
      <c r="Z295" s="80">
        <f t="shared" si="1280"/>
        <v>0</v>
      </c>
      <c r="AA295" s="81"/>
      <c r="AB295" s="81"/>
      <c r="AC295" s="81"/>
      <c r="AD295" s="81"/>
      <c r="AE295" s="83"/>
      <c r="AF295" s="83"/>
      <c r="AG295" s="83"/>
      <c r="AH295" s="83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2">
        <v>135</v>
      </c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  <c r="BE295" s="81"/>
      <c r="BF295" s="81"/>
      <c r="BG295" s="81"/>
      <c r="BH295" s="81"/>
      <c r="BI295" s="81"/>
      <c r="BJ295" s="81"/>
      <c r="BK295" s="82">
        <v>135</v>
      </c>
      <c r="BL295" s="82">
        <v>0</v>
      </c>
      <c r="BM295" s="82">
        <v>0</v>
      </c>
      <c r="BN295" s="81">
        <f t="shared" si="1351"/>
        <v>0</v>
      </c>
      <c r="BO295" s="75">
        <f t="shared" si="1352"/>
        <v>0</v>
      </c>
      <c r="BP295" s="81">
        <f t="shared" si="1353"/>
        <v>0</v>
      </c>
      <c r="BQ295" s="81">
        <f t="shared" si="1354"/>
        <v>0</v>
      </c>
      <c r="BR295" s="81">
        <f t="shared" si="1355"/>
        <v>0</v>
      </c>
      <c r="BS295" s="81">
        <f t="shared" si="1356"/>
        <v>0</v>
      </c>
      <c r="BT295" s="81">
        <f t="shared" si="1357"/>
        <v>0</v>
      </c>
      <c r="BU295" s="81">
        <f t="shared" si="1358"/>
        <v>0</v>
      </c>
      <c r="BV295" s="81">
        <f t="shared" si="1359"/>
        <v>0</v>
      </c>
      <c r="BW295" s="81">
        <f t="shared" si="1360"/>
        <v>0</v>
      </c>
      <c r="BX295" s="1"/>
      <c r="BY295" s="1"/>
      <c r="BZ295" s="1"/>
      <c r="CA295" s="1"/>
      <c r="CB295" s="1"/>
      <c r="CC295" s="1"/>
      <c r="CD295" s="1"/>
      <c r="CE295" s="1"/>
      <c r="CF295" s="1"/>
      <c r="CG295" s="1"/>
    </row>
    <row r="296" spans="1:85" ht="15.75" customHeight="1">
      <c r="A296" s="125" t="s">
        <v>587</v>
      </c>
      <c r="B296" s="85"/>
      <c r="C296" s="86" t="s">
        <v>581</v>
      </c>
      <c r="D296" s="319" t="s">
        <v>586</v>
      </c>
      <c r="E296" s="70"/>
      <c r="F296" s="71"/>
      <c r="G296" s="71">
        <f t="shared" si="1344"/>
        <v>0</v>
      </c>
      <c r="H296" s="70"/>
      <c r="I296" s="72">
        <f t="shared" si="1276"/>
        <v>0</v>
      </c>
      <c r="J296" s="72">
        <f t="shared" si="1277"/>
        <v>0</v>
      </c>
      <c r="K296" s="73">
        <v>56.96</v>
      </c>
      <c r="L296" s="81"/>
      <c r="M296" s="81"/>
      <c r="N296" s="88"/>
      <c r="O296" s="77">
        <f t="shared" ref="O296:Q296" si="1373">AA296+AD296+AG296+AJ296+AM296+AP296+AS296+AV296+AY296+BB296+BE296+BH296</f>
        <v>56.96</v>
      </c>
      <c r="P296" s="77">
        <f t="shared" si="1373"/>
        <v>0</v>
      </c>
      <c r="Q296" s="77">
        <f t="shared" si="1373"/>
        <v>0</v>
      </c>
      <c r="R296" s="77">
        <f t="shared" ref="R296:T296" si="1374">IF(BK296=0,SUM(AA296+AD296+AG296+AJ296+AM296+AP296+AS296+AV296+AY296+BB296+BE296+BH296),BK296)</f>
        <v>56.96</v>
      </c>
      <c r="S296" s="77">
        <f t="shared" si="1374"/>
        <v>0</v>
      </c>
      <c r="T296" s="77">
        <f t="shared" si="1374"/>
        <v>0</v>
      </c>
      <c r="U296" s="79">
        <f t="shared" si="1347"/>
        <v>0</v>
      </c>
      <c r="V296" s="79">
        <f t="shared" si="1348"/>
        <v>0</v>
      </c>
      <c r="W296" s="79">
        <f t="shared" si="1349"/>
        <v>0</v>
      </c>
      <c r="X296" s="80">
        <f t="shared" ref="X296:Y296" si="1375">IF(O296&gt;0,O296/K296,0)</f>
        <v>1</v>
      </c>
      <c r="Y296" s="80">
        <f t="shared" si="1375"/>
        <v>0</v>
      </c>
      <c r="Z296" s="80">
        <f t="shared" si="1280"/>
        <v>0</v>
      </c>
      <c r="AA296" s="81"/>
      <c r="AB296" s="81"/>
      <c r="AC296" s="81"/>
      <c r="AD296" s="81"/>
      <c r="AE296" s="83"/>
      <c r="AF296" s="83"/>
      <c r="AG296" s="83"/>
      <c r="AH296" s="83"/>
      <c r="AI296" s="81"/>
      <c r="AJ296" s="81"/>
      <c r="AK296" s="81"/>
      <c r="AL296" s="81"/>
      <c r="AM296" s="81"/>
      <c r="AN296" s="81"/>
      <c r="AO296" s="81"/>
      <c r="AP296" s="82">
        <v>56.96</v>
      </c>
      <c r="AQ296" s="81"/>
      <c r="AR296" s="81"/>
      <c r="AS296" s="81"/>
      <c r="AT296" s="81"/>
      <c r="AU296" s="81"/>
      <c r="AV296" s="81"/>
      <c r="AW296" s="81"/>
      <c r="AX296" s="81"/>
      <c r="AY296" s="81"/>
      <c r="AZ296" s="81"/>
      <c r="BA296" s="81"/>
      <c r="BB296" s="81"/>
      <c r="BC296" s="81"/>
      <c r="BD296" s="81"/>
      <c r="BE296" s="81"/>
      <c r="BF296" s="81"/>
      <c r="BG296" s="81"/>
      <c r="BH296" s="81"/>
      <c r="BI296" s="81"/>
      <c r="BJ296" s="81"/>
      <c r="BK296" s="82">
        <v>56.96</v>
      </c>
      <c r="BL296" s="82">
        <v>0</v>
      </c>
      <c r="BM296" s="82">
        <v>0</v>
      </c>
      <c r="BN296" s="81">
        <f t="shared" si="1351"/>
        <v>0</v>
      </c>
      <c r="BO296" s="75">
        <f t="shared" si="1352"/>
        <v>0</v>
      </c>
      <c r="BP296" s="81">
        <f t="shared" si="1353"/>
        <v>0</v>
      </c>
      <c r="BQ296" s="81">
        <f t="shared" si="1354"/>
        <v>0</v>
      </c>
      <c r="BR296" s="81">
        <f t="shared" si="1355"/>
        <v>0</v>
      </c>
      <c r="BS296" s="81">
        <f t="shared" si="1356"/>
        <v>0</v>
      </c>
      <c r="BT296" s="81">
        <f t="shared" si="1357"/>
        <v>0</v>
      </c>
      <c r="BU296" s="81">
        <f t="shared" si="1358"/>
        <v>0</v>
      </c>
      <c r="BV296" s="81">
        <f t="shared" si="1359"/>
        <v>0</v>
      </c>
      <c r="BW296" s="81">
        <f t="shared" si="1360"/>
        <v>0</v>
      </c>
      <c r="BX296" s="1"/>
      <c r="BY296" s="1"/>
      <c r="BZ296" s="1"/>
      <c r="CA296" s="1"/>
      <c r="CB296" s="1"/>
      <c r="CC296" s="1"/>
      <c r="CD296" s="1"/>
      <c r="CE296" s="1"/>
      <c r="CF296" s="1"/>
      <c r="CG296" s="1"/>
    </row>
    <row r="297" spans="1:85" ht="15.75" customHeight="1">
      <c r="A297" s="125" t="s">
        <v>588</v>
      </c>
      <c r="B297" s="85"/>
      <c r="C297" s="86" t="s">
        <v>581</v>
      </c>
      <c r="D297" s="319" t="s">
        <v>586</v>
      </c>
      <c r="E297" s="70"/>
      <c r="F297" s="71"/>
      <c r="G297" s="71">
        <f t="shared" si="1344"/>
        <v>0</v>
      </c>
      <c r="H297" s="70"/>
      <c r="I297" s="72">
        <f t="shared" si="1276"/>
        <v>0</v>
      </c>
      <c r="J297" s="72">
        <f t="shared" si="1277"/>
        <v>0</v>
      </c>
      <c r="K297" s="73">
        <v>1078</v>
      </c>
      <c r="L297" s="81"/>
      <c r="M297" s="81"/>
      <c r="N297" s="88"/>
      <c r="O297" s="77">
        <f t="shared" ref="O297:Q297" si="1376">AA297+AD297+AG297+AJ297+AM297+AP297+AS297+AV297+AY297+BB297+BE297+BH297</f>
        <v>1078</v>
      </c>
      <c r="P297" s="77">
        <f t="shared" si="1376"/>
        <v>0</v>
      </c>
      <c r="Q297" s="77">
        <f t="shared" si="1376"/>
        <v>0</v>
      </c>
      <c r="R297" s="77">
        <f t="shared" ref="R297:T297" si="1377">IF(BK297=0,SUM(AA297+AD297+AG297+AJ297+AM297+AP297+AS297+AV297+AY297+BB297+BE297+BH297),BK297)</f>
        <v>1078</v>
      </c>
      <c r="S297" s="77">
        <f t="shared" si="1377"/>
        <v>0</v>
      </c>
      <c r="T297" s="77">
        <f t="shared" si="1377"/>
        <v>0</v>
      </c>
      <c r="U297" s="78">
        <f t="shared" si="1347"/>
        <v>0</v>
      </c>
      <c r="V297" s="79">
        <f t="shared" si="1348"/>
        <v>0</v>
      </c>
      <c r="W297" s="79">
        <f t="shared" si="1349"/>
        <v>0</v>
      </c>
      <c r="X297" s="80">
        <f t="shared" ref="X297:Y297" si="1378">IF(O297&gt;0,O297/K297,0)</f>
        <v>1</v>
      </c>
      <c r="Y297" s="80">
        <f t="shared" si="1378"/>
        <v>0</v>
      </c>
      <c r="Z297" s="80">
        <f t="shared" si="1280"/>
        <v>0</v>
      </c>
      <c r="AA297" s="81"/>
      <c r="AB297" s="81"/>
      <c r="AC297" s="81"/>
      <c r="AD297" s="81"/>
      <c r="AE297" s="83"/>
      <c r="AF297" s="83"/>
      <c r="AG297" s="83"/>
      <c r="AH297" s="83"/>
      <c r="AI297" s="81"/>
      <c r="AJ297" s="81"/>
      <c r="AK297" s="81"/>
      <c r="AL297" s="81"/>
      <c r="AM297" s="81"/>
      <c r="AN297" s="81"/>
      <c r="AO297" s="81"/>
      <c r="AP297" s="81"/>
      <c r="AQ297" s="81"/>
      <c r="AR297" s="81"/>
      <c r="AS297" s="81"/>
      <c r="AT297" s="81"/>
      <c r="AU297" s="81"/>
      <c r="AV297" s="81"/>
      <c r="AW297" s="81"/>
      <c r="AX297" s="81"/>
      <c r="AY297" s="81">
        <f>1078</f>
        <v>1078</v>
      </c>
      <c r="AZ297" s="81"/>
      <c r="BA297" s="81"/>
      <c r="BB297" s="81"/>
      <c r="BC297" s="81"/>
      <c r="BD297" s="81"/>
      <c r="BE297" s="81"/>
      <c r="BF297" s="81"/>
      <c r="BG297" s="81"/>
      <c r="BH297" s="81"/>
      <c r="BI297" s="81"/>
      <c r="BJ297" s="81"/>
      <c r="BK297" s="82">
        <v>1078</v>
      </c>
      <c r="BL297" s="82">
        <v>0</v>
      </c>
      <c r="BM297" s="82">
        <v>0</v>
      </c>
      <c r="BN297" s="81">
        <f t="shared" si="1351"/>
        <v>0</v>
      </c>
      <c r="BO297" s="75">
        <f t="shared" si="1352"/>
        <v>0</v>
      </c>
      <c r="BP297" s="81">
        <f t="shared" si="1353"/>
        <v>0</v>
      </c>
      <c r="BQ297" s="81">
        <f t="shared" si="1354"/>
        <v>0</v>
      </c>
      <c r="BR297" s="81">
        <f t="shared" si="1355"/>
        <v>0</v>
      </c>
      <c r="BS297" s="81">
        <f t="shared" si="1356"/>
        <v>0</v>
      </c>
      <c r="BT297" s="81">
        <f t="shared" si="1357"/>
        <v>0</v>
      </c>
      <c r="BU297" s="81">
        <f t="shared" si="1358"/>
        <v>0</v>
      </c>
      <c r="BV297" s="81">
        <f t="shared" si="1359"/>
        <v>0</v>
      </c>
      <c r="BW297" s="81">
        <f t="shared" si="1360"/>
        <v>0</v>
      </c>
      <c r="BX297" s="1"/>
      <c r="BY297" s="1"/>
      <c r="BZ297" s="1"/>
      <c r="CA297" s="1"/>
      <c r="CB297" s="1"/>
      <c r="CC297" s="1"/>
      <c r="CD297" s="1"/>
      <c r="CE297" s="1"/>
      <c r="CF297" s="1"/>
      <c r="CG297" s="1"/>
    </row>
    <row r="298" spans="1:85" ht="15.75" customHeight="1">
      <c r="A298" s="125" t="s">
        <v>589</v>
      </c>
      <c r="B298" s="85"/>
      <c r="C298" s="86" t="s">
        <v>581</v>
      </c>
      <c r="D298" s="320" t="s">
        <v>590</v>
      </c>
      <c r="E298" s="70"/>
      <c r="F298" s="71"/>
      <c r="G298" s="71">
        <f t="shared" si="1344"/>
        <v>0</v>
      </c>
      <c r="H298" s="70"/>
      <c r="I298" s="72">
        <f t="shared" si="1276"/>
        <v>0</v>
      </c>
      <c r="J298" s="72">
        <f t="shared" si="1277"/>
        <v>0</v>
      </c>
      <c r="K298" s="73">
        <v>2500</v>
      </c>
      <c r="L298" s="81"/>
      <c r="M298" s="81"/>
      <c r="N298" s="88"/>
      <c r="O298" s="77">
        <f t="shared" ref="O298:Q298" si="1379">AA298+AD298+AG298+AJ298+AM298+AP298+AS298+AV298+AY298+BB298+BE298+BH298</f>
        <v>2500</v>
      </c>
      <c r="P298" s="77">
        <f t="shared" si="1379"/>
        <v>0</v>
      </c>
      <c r="Q298" s="77">
        <f t="shared" si="1379"/>
        <v>0</v>
      </c>
      <c r="R298" s="77">
        <f t="shared" ref="R298:T298" si="1380">IF(BK298=0,SUM(AA298+AD298+AG298+AJ298+AM298+AP298+AS298+AV298+AY298+BB298+BE298+BH298),BK298)</f>
        <v>2500</v>
      </c>
      <c r="S298" s="77">
        <f t="shared" si="1380"/>
        <v>0</v>
      </c>
      <c r="T298" s="77">
        <f t="shared" si="1380"/>
        <v>0</v>
      </c>
      <c r="U298" s="78">
        <f t="shared" si="1347"/>
        <v>0</v>
      </c>
      <c r="V298" s="79">
        <f t="shared" si="1348"/>
        <v>0</v>
      </c>
      <c r="W298" s="79">
        <f t="shared" si="1349"/>
        <v>0</v>
      </c>
      <c r="X298" s="80">
        <f t="shared" ref="X298:Y298" si="1381">IF(O298&gt;0,O298/K298,0)</f>
        <v>1</v>
      </c>
      <c r="Y298" s="80">
        <f t="shared" si="1381"/>
        <v>0</v>
      </c>
      <c r="Z298" s="80">
        <f t="shared" si="1280"/>
        <v>0</v>
      </c>
      <c r="AA298" s="81"/>
      <c r="AB298" s="81"/>
      <c r="AC298" s="81"/>
      <c r="AD298" s="81"/>
      <c r="AE298" s="83"/>
      <c r="AF298" s="83"/>
      <c r="AG298" s="83"/>
      <c r="AH298" s="83"/>
      <c r="AI298" s="81"/>
      <c r="AJ298" s="81"/>
      <c r="AK298" s="81"/>
      <c r="AL298" s="81"/>
      <c r="AM298" s="81"/>
      <c r="AN298" s="81"/>
      <c r="AO298" s="81"/>
      <c r="AP298" s="81"/>
      <c r="AQ298" s="81"/>
      <c r="AR298" s="81"/>
      <c r="AS298" s="81"/>
      <c r="AT298" s="81"/>
      <c r="AU298" s="81"/>
      <c r="AV298" s="82">
        <v>2500</v>
      </c>
      <c r="AW298" s="81"/>
      <c r="AX298" s="81"/>
      <c r="AY298" s="81"/>
      <c r="AZ298" s="81"/>
      <c r="BA298" s="81"/>
      <c r="BB298" s="81"/>
      <c r="BC298" s="81"/>
      <c r="BD298" s="81"/>
      <c r="BE298" s="81"/>
      <c r="BF298" s="81"/>
      <c r="BG298" s="81"/>
      <c r="BH298" s="81"/>
      <c r="BI298" s="81"/>
      <c r="BJ298" s="81"/>
      <c r="BK298" s="82">
        <v>2500</v>
      </c>
      <c r="BL298" s="82">
        <v>0</v>
      </c>
      <c r="BM298" s="82">
        <v>0</v>
      </c>
      <c r="BN298" s="81">
        <f t="shared" si="1351"/>
        <v>0</v>
      </c>
      <c r="BO298" s="75">
        <f t="shared" si="1352"/>
        <v>0</v>
      </c>
      <c r="BP298" s="81">
        <f t="shared" si="1353"/>
        <v>0</v>
      </c>
      <c r="BQ298" s="81">
        <f t="shared" si="1354"/>
        <v>0</v>
      </c>
      <c r="BR298" s="81">
        <f t="shared" si="1355"/>
        <v>0</v>
      </c>
      <c r="BS298" s="81">
        <f t="shared" si="1356"/>
        <v>0</v>
      </c>
      <c r="BT298" s="81">
        <f t="shared" si="1357"/>
        <v>0</v>
      </c>
      <c r="BU298" s="81">
        <f t="shared" si="1358"/>
        <v>0</v>
      </c>
      <c r="BV298" s="81">
        <f t="shared" si="1359"/>
        <v>0</v>
      </c>
      <c r="BW298" s="81">
        <f t="shared" si="1360"/>
        <v>0</v>
      </c>
      <c r="BX298" s="1"/>
      <c r="BY298" s="1"/>
      <c r="BZ298" s="1"/>
      <c r="CA298" s="1"/>
      <c r="CB298" s="1"/>
      <c r="CC298" s="1"/>
      <c r="CD298" s="1"/>
      <c r="CE298" s="1"/>
      <c r="CF298" s="1"/>
      <c r="CG298" s="1"/>
    </row>
    <row r="299" spans="1:85" ht="15.75" customHeight="1">
      <c r="A299" s="125" t="s">
        <v>591</v>
      </c>
      <c r="B299" s="85"/>
      <c r="C299" s="86" t="s">
        <v>581</v>
      </c>
      <c r="D299" s="320" t="s">
        <v>592</v>
      </c>
      <c r="E299" s="70"/>
      <c r="F299" s="71"/>
      <c r="G299" s="71">
        <f t="shared" si="1344"/>
        <v>0</v>
      </c>
      <c r="H299" s="70"/>
      <c r="I299" s="72">
        <f t="shared" si="1276"/>
        <v>0</v>
      </c>
      <c r="J299" s="72">
        <f t="shared" si="1277"/>
        <v>0</v>
      </c>
      <c r="K299" s="73">
        <f>90-90</f>
        <v>0</v>
      </c>
      <c r="L299" s="81"/>
      <c r="M299" s="81"/>
      <c r="N299" s="88"/>
      <c r="O299" s="77">
        <f t="shared" ref="O299:Q299" si="1382">AA299+AD299+AG299+AJ299+AM299+AP299+AS299+AV299+AY299+BB299+BE299+BH299</f>
        <v>0</v>
      </c>
      <c r="P299" s="77">
        <f t="shared" si="1382"/>
        <v>0</v>
      </c>
      <c r="Q299" s="77">
        <f t="shared" si="1382"/>
        <v>0</v>
      </c>
      <c r="R299" s="77">
        <f t="shared" ref="R299:T299" si="1383">IF(BK299=0,SUM(AA299+AD299+AG299+AJ299+AM299+AP299+AS299+AV299+AY299+BB299+BE299+BH299),BK299)</f>
        <v>0</v>
      </c>
      <c r="S299" s="77">
        <f t="shared" si="1383"/>
        <v>0</v>
      </c>
      <c r="T299" s="77">
        <f t="shared" si="1383"/>
        <v>0</v>
      </c>
      <c r="U299" s="78">
        <f t="shared" si="1347"/>
        <v>0</v>
      </c>
      <c r="V299" s="79">
        <f t="shared" si="1348"/>
        <v>0</v>
      </c>
      <c r="W299" s="79">
        <f t="shared" si="1349"/>
        <v>0</v>
      </c>
      <c r="X299" s="80">
        <f t="shared" ref="X299:Y299" si="1384">IF(O299&gt;0,O299/K299,0)</f>
        <v>0</v>
      </c>
      <c r="Y299" s="80">
        <f t="shared" si="1384"/>
        <v>0</v>
      </c>
      <c r="Z299" s="80">
        <f t="shared" si="1280"/>
        <v>0</v>
      </c>
      <c r="AA299" s="81"/>
      <c r="AB299" s="81"/>
      <c r="AC299" s="81"/>
      <c r="AD299" s="81"/>
      <c r="AE299" s="83"/>
      <c r="AF299" s="83"/>
      <c r="AG299" s="83"/>
      <c r="AH299" s="83"/>
      <c r="AI299" s="81"/>
      <c r="AJ299" s="81"/>
      <c r="AK299" s="81"/>
      <c r="AL299" s="81"/>
      <c r="AM299" s="81"/>
      <c r="AN299" s="81"/>
      <c r="AO299" s="81"/>
      <c r="AP299" s="81"/>
      <c r="AQ299" s="81"/>
      <c r="AR299" s="81"/>
      <c r="AS299" s="81"/>
      <c r="AT299" s="81"/>
      <c r="AU299" s="81"/>
      <c r="AV299" s="81"/>
      <c r="AW299" s="81"/>
      <c r="AX299" s="81"/>
      <c r="AY299" s="81"/>
      <c r="AZ299" s="81"/>
      <c r="BA299" s="81"/>
      <c r="BB299" s="81"/>
      <c r="BC299" s="81"/>
      <c r="BD299" s="81"/>
      <c r="BE299" s="81"/>
      <c r="BF299" s="81"/>
      <c r="BG299" s="81"/>
      <c r="BH299" s="81"/>
      <c r="BI299" s="81"/>
      <c r="BJ299" s="81"/>
      <c r="BK299" s="82">
        <v>0</v>
      </c>
      <c r="BL299" s="82">
        <v>0</v>
      </c>
      <c r="BM299" s="82">
        <v>0</v>
      </c>
      <c r="BN299" s="81">
        <f t="shared" si="1351"/>
        <v>0</v>
      </c>
      <c r="BO299" s="75">
        <f t="shared" si="1352"/>
        <v>0</v>
      </c>
      <c r="BP299" s="81">
        <f t="shared" si="1353"/>
        <v>0</v>
      </c>
      <c r="BQ299" s="81">
        <f t="shared" si="1354"/>
        <v>0</v>
      </c>
      <c r="BR299" s="81">
        <f t="shared" si="1355"/>
        <v>0</v>
      </c>
      <c r="BS299" s="81">
        <f t="shared" si="1356"/>
        <v>0</v>
      </c>
      <c r="BT299" s="81">
        <f t="shared" si="1357"/>
        <v>0</v>
      </c>
      <c r="BU299" s="81">
        <f t="shared" si="1358"/>
        <v>0</v>
      </c>
      <c r="BV299" s="81">
        <f t="shared" si="1359"/>
        <v>0</v>
      </c>
      <c r="BW299" s="81">
        <f t="shared" si="1360"/>
        <v>0</v>
      </c>
      <c r="BX299" s="1"/>
      <c r="BY299" s="1"/>
      <c r="BZ299" s="1"/>
      <c r="CA299" s="1"/>
      <c r="CB299" s="1"/>
      <c r="CC299" s="1"/>
      <c r="CD299" s="1"/>
      <c r="CE299" s="1"/>
      <c r="CF299" s="1"/>
      <c r="CG299" s="1"/>
    </row>
    <row r="300" spans="1:85" ht="15.75" customHeight="1">
      <c r="A300" s="84"/>
      <c r="B300" s="85"/>
      <c r="C300" s="86" t="s">
        <v>135</v>
      </c>
      <c r="D300" s="292" t="s">
        <v>593</v>
      </c>
      <c r="E300" s="70">
        <v>10000</v>
      </c>
      <c r="F300" s="71"/>
      <c r="G300" s="71">
        <f t="shared" si="1344"/>
        <v>10000</v>
      </c>
      <c r="H300" s="70"/>
      <c r="I300" s="72">
        <f t="shared" si="1276"/>
        <v>0</v>
      </c>
      <c r="J300" s="72">
        <f t="shared" si="1277"/>
        <v>0</v>
      </c>
      <c r="K300" s="88"/>
      <c r="L300" s="81"/>
      <c r="M300" s="81"/>
      <c r="N300" s="88"/>
      <c r="O300" s="77">
        <f t="shared" ref="O300:Q300" si="1385">AA300+AD300+AG300+AJ300+AM300+AP300+AS300+AV300+AY300+BB300+BE300+BH300</f>
        <v>0</v>
      </c>
      <c r="P300" s="77">
        <f t="shared" si="1385"/>
        <v>0</v>
      </c>
      <c r="Q300" s="77">
        <f t="shared" si="1385"/>
        <v>0</v>
      </c>
      <c r="R300" s="77">
        <f t="shared" ref="R300:T300" si="1386">IF(BK300=0,SUM(AA300+AD300+AG300+AJ300+AM300+AP300+AS300+AV300+AY300+BB300+BE300+BH300),BK300)</f>
        <v>0</v>
      </c>
      <c r="S300" s="77">
        <f t="shared" si="1386"/>
        <v>0</v>
      </c>
      <c r="T300" s="77">
        <f t="shared" si="1386"/>
        <v>0</v>
      </c>
      <c r="U300" s="79">
        <f t="shared" si="1347"/>
        <v>0</v>
      </c>
      <c r="V300" s="79">
        <f t="shared" si="1348"/>
        <v>0</v>
      </c>
      <c r="W300" s="79">
        <f t="shared" si="1349"/>
        <v>0</v>
      </c>
      <c r="X300" s="80">
        <f t="shared" ref="X300:Y300" si="1387">IF(O300&gt;0,O300/K300,0)</f>
        <v>0</v>
      </c>
      <c r="Y300" s="80">
        <f t="shared" si="1387"/>
        <v>0</v>
      </c>
      <c r="Z300" s="80">
        <f t="shared" si="1280"/>
        <v>0</v>
      </c>
      <c r="AA300" s="81"/>
      <c r="AB300" s="81"/>
      <c r="AC300" s="81"/>
      <c r="AD300" s="81"/>
      <c r="AE300" s="83"/>
      <c r="AF300" s="83"/>
      <c r="AG300" s="83"/>
      <c r="AH300" s="83"/>
      <c r="AI300" s="81"/>
      <c r="AJ300" s="81"/>
      <c r="AK300" s="81"/>
      <c r="AL300" s="81"/>
      <c r="AM300" s="81"/>
      <c r="AN300" s="81"/>
      <c r="AO300" s="81"/>
      <c r="AP300" s="81"/>
      <c r="AQ300" s="81"/>
      <c r="AR300" s="81"/>
      <c r="AS300" s="81"/>
      <c r="AT300" s="81"/>
      <c r="AU300" s="81"/>
      <c r="AV300" s="81"/>
      <c r="AW300" s="81"/>
      <c r="AX300" s="81"/>
      <c r="AY300" s="81"/>
      <c r="AZ300" s="81"/>
      <c r="BA300" s="81"/>
      <c r="BB300" s="81"/>
      <c r="BC300" s="81"/>
      <c r="BD300" s="81"/>
      <c r="BE300" s="81"/>
      <c r="BF300" s="81"/>
      <c r="BG300" s="81"/>
      <c r="BH300" s="81"/>
      <c r="BI300" s="81"/>
      <c r="BJ300" s="81"/>
      <c r="BK300" s="82">
        <v>0</v>
      </c>
      <c r="BL300" s="82">
        <v>0</v>
      </c>
      <c r="BM300" s="82">
        <v>0</v>
      </c>
      <c r="BN300" s="81">
        <f t="shared" si="1351"/>
        <v>0</v>
      </c>
      <c r="BO300" s="75">
        <f t="shared" si="1352"/>
        <v>0</v>
      </c>
      <c r="BP300" s="81">
        <f t="shared" si="1353"/>
        <v>0</v>
      </c>
      <c r="BQ300" s="81">
        <f t="shared" si="1354"/>
        <v>0</v>
      </c>
      <c r="BR300" s="81">
        <f t="shared" si="1355"/>
        <v>0</v>
      </c>
      <c r="BS300" s="81">
        <f t="shared" si="1356"/>
        <v>0</v>
      </c>
      <c r="BT300" s="81">
        <f t="shared" si="1357"/>
        <v>0</v>
      </c>
      <c r="BU300" s="81">
        <f t="shared" si="1358"/>
        <v>0</v>
      </c>
      <c r="BV300" s="81">
        <f t="shared" si="1359"/>
        <v>0</v>
      </c>
      <c r="BW300" s="81">
        <f t="shared" si="1360"/>
        <v>0</v>
      </c>
      <c r="BX300" s="1"/>
      <c r="BY300" s="1"/>
      <c r="BZ300" s="1"/>
      <c r="CA300" s="1"/>
      <c r="CB300" s="1"/>
      <c r="CC300" s="1"/>
      <c r="CD300" s="1"/>
      <c r="CE300" s="1"/>
      <c r="CF300" s="1"/>
      <c r="CG300" s="1"/>
    </row>
    <row r="301" spans="1:85" ht="15.75" customHeight="1">
      <c r="A301" s="84"/>
      <c r="B301" s="85"/>
      <c r="C301" s="86" t="s">
        <v>166</v>
      </c>
      <c r="D301" s="292" t="s">
        <v>594</v>
      </c>
      <c r="E301" s="70">
        <f>8000+5000</f>
        <v>13000</v>
      </c>
      <c r="F301" s="71"/>
      <c r="G301" s="71">
        <f t="shared" si="1344"/>
        <v>13000</v>
      </c>
      <c r="H301" s="70"/>
      <c r="I301" s="72">
        <f t="shared" si="1276"/>
        <v>0</v>
      </c>
      <c r="J301" s="72">
        <f t="shared" si="1277"/>
        <v>0</v>
      </c>
      <c r="K301" s="88"/>
      <c r="L301" s="81"/>
      <c r="M301" s="81"/>
      <c r="N301" s="88"/>
      <c r="O301" s="77">
        <f t="shared" ref="O301:Q301" si="1388">AA301+AD301+AG301+AJ301+AM301+AP301+AS301+AV301+AY301+BB301+BE301+BH301</f>
        <v>0</v>
      </c>
      <c r="P301" s="77">
        <f t="shared" si="1388"/>
        <v>0</v>
      </c>
      <c r="Q301" s="77">
        <f t="shared" si="1388"/>
        <v>0</v>
      </c>
      <c r="R301" s="77">
        <f t="shared" ref="R301:T301" si="1389">IF(BK301=0,SUM(AA301+AD301+AG301+AJ301+AM301+AP301+AS301+AV301+AY301+BB301+BE301+BH301),BK301)</f>
        <v>0</v>
      </c>
      <c r="S301" s="77">
        <f t="shared" si="1389"/>
        <v>0</v>
      </c>
      <c r="T301" s="77">
        <f t="shared" si="1389"/>
        <v>0</v>
      </c>
      <c r="U301" s="79">
        <f t="shared" si="1347"/>
        <v>0</v>
      </c>
      <c r="V301" s="79">
        <f t="shared" si="1348"/>
        <v>0</v>
      </c>
      <c r="W301" s="79">
        <f t="shared" si="1349"/>
        <v>0</v>
      </c>
      <c r="X301" s="80">
        <f t="shared" ref="X301:Y301" si="1390">IF(O301&gt;0,O301/K301,0)</f>
        <v>0</v>
      </c>
      <c r="Y301" s="80">
        <f t="shared" si="1390"/>
        <v>0</v>
      </c>
      <c r="Z301" s="80">
        <f t="shared" si="1280"/>
        <v>0</v>
      </c>
      <c r="AA301" s="81"/>
      <c r="AB301" s="81"/>
      <c r="AC301" s="81"/>
      <c r="AD301" s="81"/>
      <c r="AE301" s="83"/>
      <c r="AF301" s="83"/>
      <c r="AG301" s="83"/>
      <c r="AH301" s="83"/>
      <c r="AI301" s="81"/>
      <c r="AJ301" s="81"/>
      <c r="AK301" s="81"/>
      <c r="AL301" s="81"/>
      <c r="AM301" s="81"/>
      <c r="AN301" s="81"/>
      <c r="AO301" s="81"/>
      <c r="AP301" s="81"/>
      <c r="AQ301" s="81"/>
      <c r="AR301" s="81"/>
      <c r="AS301" s="81"/>
      <c r="AT301" s="81"/>
      <c r="AU301" s="81"/>
      <c r="AV301" s="81"/>
      <c r="AW301" s="81"/>
      <c r="AX301" s="81"/>
      <c r="AY301" s="81"/>
      <c r="AZ301" s="81"/>
      <c r="BA301" s="81"/>
      <c r="BB301" s="81"/>
      <c r="BC301" s="81"/>
      <c r="BD301" s="81"/>
      <c r="BE301" s="81"/>
      <c r="BF301" s="81"/>
      <c r="BG301" s="81"/>
      <c r="BH301" s="81"/>
      <c r="BI301" s="81"/>
      <c r="BJ301" s="81"/>
      <c r="BK301" s="82">
        <v>0</v>
      </c>
      <c r="BL301" s="82">
        <v>0</v>
      </c>
      <c r="BM301" s="82">
        <v>0</v>
      </c>
      <c r="BN301" s="81">
        <f t="shared" si="1351"/>
        <v>0</v>
      </c>
      <c r="BO301" s="75">
        <f t="shared" si="1352"/>
        <v>0</v>
      </c>
      <c r="BP301" s="81">
        <f t="shared" si="1353"/>
        <v>0</v>
      </c>
      <c r="BQ301" s="81">
        <f t="shared" si="1354"/>
        <v>0</v>
      </c>
      <c r="BR301" s="81">
        <f t="shared" si="1355"/>
        <v>0</v>
      </c>
      <c r="BS301" s="81">
        <f t="shared" si="1356"/>
        <v>0</v>
      </c>
      <c r="BT301" s="81">
        <f t="shared" si="1357"/>
        <v>0</v>
      </c>
      <c r="BU301" s="81">
        <f t="shared" si="1358"/>
        <v>0</v>
      </c>
      <c r="BV301" s="81">
        <f t="shared" si="1359"/>
        <v>0</v>
      </c>
      <c r="BW301" s="81">
        <f t="shared" si="1360"/>
        <v>0</v>
      </c>
      <c r="BX301" s="1"/>
      <c r="BY301" s="1"/>
      <c r="BZ301" s="1"/>
      <c r="CA301" s="1"/>
      <c r="CB301" s="1"/>
      <c r="CC301" s="1"/>
      <c r="CD301" s="1"/>
      <c r="CE301" s="1"/>
      <c r="CF301" s="1"/>
      <c r="CG301" s="1"/>
    </row>
    <row r="302" spans="1:85" ht="15.75" customHeight="1">
      <c r="A302" s="125" t="s">
        <v>595</v>
      </c>
      <c r="B302" s="85"/>
      <c r="C302" s="86" t="s">
        <v>596</v>
      </c>
      <c r="D302" s="135" t="s">
        <v>597</v>
      </c>
      <c r="E302" s="70">
        <v>3000</v>
      </c>
      <c r="F302" s="71"/>
      <c r="G302" s="71">
        <f t="shared" si="1344"/>
        <v>3000</v>
      </c>
      <c r="H302" s="70"/>
      <c r="I302" s="72">
        <f t="shared" si="1276"/>
        <v>0.11</v>
      </c>
      <c r="J302" s="72">
        <f t="shared" si="1277"/>
        <v>0.11</v>
      </c>
      <c r="K302" s="73">
        <v>330</v>
      </c>
      <c r="L302" s="81"/>
      <c r="M302" s="81"/>
      <c r="N302" s="88"/>
      <c r="O302" s="77">
        <f t="shared" ref="O302:Q302" si="1391">AA302+AD302+AG302+AJ302+AM302+AP302+AS302+AV302+AY302+BB302+BE302+BH302</f>
        <v>330</v>
      </c>
      <c r="P302" s="77">
        <f t="shared" si="1391"/>
        <v>0</v>
      </c>
      <c r="Q302" s="77">
        <f t="shared" si="1391"/>
        <v>0</v>
      </c>
      <c r="R302" s="77">
        <f t="shared" ref="R302:T302" si="1392">IF(BK302=0,SUM(AA302+AD302+AG302+AJ302+AM302+AP302+AS302+AV302+AY302+BB302+BE302+BH302),BK302)</f>
        <v>330</v>
      </c>
      <c r="S302" s="77">
        <f t="shared" si="1392"/>
        <v>0</v>
      </c>
      <c r="T302" s="77">
        <f t="shared" si="1392"/>
        <v>0</v>
      </c>
      <c r="U302" s="79">
        <f t="shared" si="1347"/>
        <v>0</v>
      </c>
      <c r="V302" s="79">
        <f t="shared" si="1348"/>
        <v>0</v>
      </c>
      <c r="W302" s="79">
        <f t="shared" si="1349"/>
        <v>0</v>
      </c>
      <c r="X302" s="80">
        <f t="shared" ref="X302:Y302" si="1393">IF(O302&gt;0,O302/K302,0)</f>
        <v>1</v>
      </c>
      <c r="Y302" s="80">
        <f t="shared" si="1393"/>
        <v>0</v>
      </c>
      <c r="Z302" s="80">
        <f t="shared" si="1280"/>
        <v>0</v>
      </c>
      <c r="AA302" s="81"/>
      <c r="AB302" s="81"/>
      <c r="AC302" s="81"/>
      <c r="AD302" s="81"/>
      <c r="AE302" s="83"/>
      <c r="AF302" s="83"/>
      <c r="AG302" s="83"/>
      <c r="AH302" s="83"/>
      <c r="AI302" s="81"/>
      <c r="AJ302" s="81"/>
      <c r="AK302" s="81"/>
      <c r="AL302" s="81"/>
      <c r="AM302" s="81"/>
      <c r="AN302" s="81"/>
      <c r="AO302" s="81"/>
      <c r="AP302" s="81"/>
      <c r="AQ302" s="81"/>
      <c r="AR302" s="81"/>
      <c r="AS302" s="81"/>
      <c r="AT302" s="81"/>
      <c r="AU302" s="81"/>
      <c r="AV302" s="81"/>
      <c r="AW302" s="81"/>
      <c r="AX302" s="81"/>
      <c r="AY302" s="82">
        <v>330</v>
      </c>
      <c r="AZ302" s="81"/>
      <c r="BA302" s="81"/>
      <c r="BB302" s="81"/>
      <c r="BC302" s="81"/>
      <c r="BD302" s="81"/>
      <c r="BE302" s="81"/>
      <c r="BF302" s="81"/>
      <c r="BG302" s="81"/>
      <c r="BH302" s="81"/>
      <c r="BI302" s="81"/>
      <c r="BJ302" s="81"/>
      <c r="BK302" s="82">
        <v>330</v>
      </c>
      <c r="BL302" s="82">
        <v>0</v>
      </c>
      <c r="BM302" s="82">
        <v>0</v>
      </c>
      <c r="BN302" s="81">
        <f t="shared" si="1351"/>
        <v>0</v>
      </c>
      <c r="BO302" s="75">
        <f t="shared" si="1352"/>
        <v>0</v>
      </c>
      <c r="BP302" s="81">
        <f t="shared" si="1353"/>
        <v>0</v>
      </c>
      <c r="BQ302" s="81">
        <f t="shared" si="1354"/>
        <v>0</v>
      </c>
      <c r="BR302" s="81">
        <f t="shared" si="1355"/>
        <v>0</v>
      </c>
      <c r="BS302" s="81">
        <f t="shared" si="1356"/>
        <v>0</v>
      </c>
      <c r="BT302" s="81">
        <f t="shared" si="1357"/>
        <v>0</v>
      </c>
      <c r="BU302" s="81">
        <f t="shared" si="1358"/>
        <v>0</v>
      </c>
      <c r="BV302" s="81">
        <f t="shared" si="1359"/>
        <v>0</v>
      </c>
      <c r="BW302" s="81">
        <f t="shared" si="1360"/>
        <v>0</v>
      </c>
      <c r="BX302" s="1"/>
      <c r="BY302" s="1"/>
      <c r="BZ302" s="1"/>
      <c r="CA302" s="1"/>
      <c r="CB302" s="1"/>
      <c r="CC302" s="1"/>
      <c r="CD302" s="1"/>
      <c r="CE302" s="1"/>
      <c r="CF302" s="1"/>
      <c r="CG302" s="1"/>
    </row>
    <row r="303" spans="1:85" ht="15.75" customHeight="1">
      <c r="A303" s="125" t="s">
        <v>598</v>
      </c>
      <c r="B303" s="85"/>
      <c r="C303" s="86" t="s">
        <v>596</v>
      </c>
      <c r="D303" s="135" t="s">
        <v>599</v>
      </c>
      <c r="E303" s="70"/>
      <c r="F303" s="71"/>
      <c r="G303" s="71">
        <f t="shared" si="1344"/>
        <v>0</v>
      </c>
      <c r="H303" s="70"/>
      <c r="I303" s="72">
        <f t="shared" si="1276"/>
        <v>0</v>
      </c>
      <c r="J303" s="72">
        <f t="shared" si="1277"/>
        <v>0</v>
      </c>
      <c r="K303" s="73">
        <v>417</v>
      </c>
      <c r="L303" s="81"/>
      <c r="M303" s="81"/>
      <c r="N303" s="88"/>
      <c r="O303" s="77">
        <f t="shared" ref="O303:Q303" si="1394">AA303+AD303+AG303+AJ303+AM303+AP303+AS303+AV303+AY303+BB303+BE303+BH303</f>
        <v>417</v>
      </c>
      <c r="P303" s="77">
        <f t="shared" si="1394"/>
        <v>0</v>
      </c>
      <c r="Q303" s="77">
        <f t="shared" si="1394"/>
        <v>0</v>
      </c>
      <c r="R303" s="77">
        <f t="shared" ref="R303:T303" si="1395">IF(BK303=0,SUM(AA303+AD303+AG303+AJ303+AM303+AP303+AS303+AV303+AY303+BB303+BE303+BH303),BK303)</f>
        <v>417</v>
      </c>
      <c r="S303" s="77">
        <f t="shared" si="1395"/>
        <v>0</v>
      </c>
      <c r="T303" s="77">
        <f t="shared" si="1395"/>
        <v>0</v>
      </c>
      <c r="U303" s="79">
        <f t="shared" si="1347"/>
        <v>0</v>
      </c>
      <c r="V303" s="79">
        <f t="shared" si="1348"/>
        <v>0</v>
      </c>
      <c r="W303" s="79">
        <f t="shared" si="1349"/>
        <v>0</v>
      </c>
      <c r="X303" s="80">
        <f t="shared" ref="X303:Y303" si="1396">IF(O303&gt;0,O303/K303,0)</f>
        <v>1</v>
      </c>
      <c r="Y303" s="80">
        <f t="shared" si="1396"/>
        <v>0</v>
      </c>
      <c r="Z303" s="80">
        <f t="shared" si="1280"/>
        <v>0</v>
      </c>
      <c r="AA303" s="81"/>
      <c r="AB303" s="81"/>
      <c r="AC303" s="81"/>
      <c r="AD303" s="81"/>
      <c r="AE303" s="83"/>
      <c r="AF303" s="83"/>
      <c r="AG303" s="83"/>
      <c r="AH303" s="83"/>
      <c r="AI303" s="81"/>
      <c r="AJ303" s="81"/>
      <c r="AK303" s="81"/>
      <c r="AL303" s="81"/>
      <c r="AM303" s="81"/>
      <c r="AN303" s="81"/>
      <c r="AO303" s="81"/>
      <c r="AP303" s="81"/>
      <c r="AQ303" s="81"/>
      <c r="AR303" s="81"/>
      <c r="AS303" s="81"/>
      <c r="AT303" s="81"/>
      <c r="AU303" s="81"/>
      <c r="AV303" s="81"/>
      <c r="AW303" s="81"/>
      <c r="AX303" s="81"/>
      <c r="AY303" s="82"/>
      <c r="AZ303" s="81"/>
      <c r="BA303" s="81"/>
      <c r="BB303" s="81">
        <f>417</f>
        <v>417</v>
      </c>
      <c r="BC303" s="81"/>
      <c r="BD303" s="81"/>
      <c r="BE303" s="81"/>
      <c r="BF303" s="81"/>
      <c r="BG303" s="81"/>
      <c r="BH303" s="81"/>
      <c r="BI303" s="81"/>
      <c r="BJ303" s="81"/>
      <c r="BK303" s="82">
        <v>417</v>
      </c>
      <c r="BL303" s="82">
        <v>0</v>
      </c>
      <c r="BM303" s="82">
        <v>0</v>
      </c>
      <c r="BN303" s="81">
        <f t="shared" si="1351"/>
        <v>0</v>
      </c>
      <c r="BO303" s="75">
        <f t="shared" si="1352"/>
        <v>0</v>
      </c>
      <c r="BP303" s="81">
        <f t="shared" si="1353"/>
        <v>0</v>
      </c>
      <c r="BQ303" s="81">
        <f t="shared" si="1354"/>
        <v>0</v>
      </c>
      <c r="BR303" s="81">
        <f t="shared" si="1355"/>
        <v>0</v>
      </c>
      <c r="BS303" s="81">
        <f t="shared" si="1356"/>
        <v>0</v>
      </c>
      <c r="BT303" s="81">
        <f t="shared" si="1357"/>
        <v>0</v>
      </c>
      <c r="BU303" s="81">
        <f t="shared" si="1358"/>
        <v>0</v>
      </c>
      <c r="BV303" s="81">
        <f t="shared" si="1359"/>
        <v>0</v>
      </c>
      <c r="BW303" s="81">
        <f t="shared" si="1360"/>
        <v>0</v>
      </c>
      <c r="BX303" s="1"/>
      <c r="BY303" s="1"/>
      <c r="BZ303" s="1"/>
      <c r="CA303" s="1"/>
      <c r="CB303" s="1"/>
      <c r="CC303" s="1"/>
      <c r="CD303" s="1"/>
      <c r="CE303" s="1"/>
      <c r="CF303" s="1"/>
      <c r="CG303" s="1"/>
    </row>
    <row r="304" spans="1:85" ht="15.75" customHeight="1">
      <c r="A304" s="125" t="s">
        <v>600</v>
      </c>
      <c r="B304" s="85"/>
      <c r="C304" s="86" t="s">
        <v>596</v>
      </c>
      <c r="D304" s="135" t="s">
        <v>601</v>
      </c>
      <c r="E304" s="70"/>
      <c r="F304" s="71"/>
      <c r="G304" s="71">
        <f t="shared" si="1344"/>
        <v>0</v>
      </c>
      <c r="H304" s="70"/>
      <c r="I304" s="72">
        <f t="shared" si="1276"/>
        <v>0</v>
      </c>
      <c r="J304" s="72">
        <f t="shared" si="1277"/>
        <v>0</v>
      </c>
      <c r="K304" s="73">
        <v>190.45</v>
      </c>
      <c r="L304" s="81"/>
      <c r="M304" s="81"/>
      <c r="N304" s="88"/>
      <c r="O304" s="77">
        <f t="shared" ref="O304:Q304" si="1397">AA304+AD304+AG304+AJ304+AM304+AP304+AS304+AV304+AY304+BB304+BE304+BH304</f>
        <v>190.45</v>
      </c>
      <c r="P304" s="77">
        <f t="shared" si="1397"/>
        <v>0</v>
      </c>
      <c r="Q304" s="77">
        <f t="shared" si="1397"/>
        <v>0</v>
      </c>
      <c r="R304" s="77">
        <f t="shared" ref="R304:T304" si="1398">IF(BK304=0,SUM(AA304+AD304+AG304+AJ304+AM304+AP304+AS304+AV304+AY304+BB304+BE304+BH304),BK304)</f>
        <v>190.45</v>
      </c>
      <c r="S304" s="77">
        <f t="shared" si="1398"/>
        <v>0</v>
      </c>
      <c r="T304" s="77">
        <f t="shared" si="1398"/>
        <v>0</v>
      </c>
      <c r="U304" s="79">
        <f t="shared" si="1347"/>
        <v>0</v>
      </c>
      <c r="V304" s="79">
        <f t="shared" si="1348"/>
        <v>0</v>
      </c>
      <c r="W304" s="79">
        <f t="shared" si="1349"/>
        <v>0</v>
      </c>
      <c r="X304" s="80">
        <f t="shared" ref="X304:Y304" si="1399">IF(O304&gt;0,O304/K304,0)</f>
        <v>1</v>
      </c>
      <c r="Y304" s="80">
        <f t="shared" si="1399"/>
        <v>0</v>
      </c>
      <c r="Z304" s="80">
        <f t="shared" si="1280"/>
        <v>0</v>
      </c>
      <c r="AA304" s="81"/>
      <c r="AB304" s="81"/>
      <c r="AC304" s="81"/>
      <c r="AD304" s="81"/>
      <c r="AE304" s="83"/>
      <c r="AF304" s="83"/>
      <c r="AG304" s="83"/>
      <c r="AH304" s="83"/>
      <c r="AI304" s="81"/>
      <c r="AJ304" s="81"/>
      <c r="AK304" s="81"/>
      <c r="AL304" s="81"/>
      <c r="AM304" s="81"/>
      <c r="AN304" s="81"/>
      <c r="AO304" s="81"/>
      <c r="AP304" s="81"/>
      <c r="AQ304" s="81"/>
      <c r="AR304" s="81"/>
      <c r="AS304" s="81"/>
      <c r="AT304" s="81"/>
      <c r="AU304" s="81"/>
      <c r="AV304" s="81"/>
      <c r="AW304" s="81"/>
      <c r="AX304" s="81"/>
      <c r="AY304" s="82">
        <v>190.45</v>
      </c>
      <c r="AZ304" s="81"/>
      <c r="BA304" s="81"/>
      <c r="BB304" s="81"/>
      <c r="BC304" s="81"/>
      <c r="BD304" s="81"/>
      <c r="BE304" s="81"/>
      <c r="BF304" s="81"/>
      <c r="BG304" s="81"/>
      <c r="BH304" s="81"/>
      <c r="BI304" s="81"/>
      <c r="BJ304" s="81"/>
      <c r="BK304" s="82">
        <v>190.45</v>
      </c>
      <c r="BL304" s="82">
        <v>0</v>
      </c>
      <c r="BM304" s="82">
        <v>0</v>
      </c>
      <c r="BN304" s="81">
        <f t="shared" si="1351"/>
        <v>0</v>
      </c>
      <c r="BO304" s="75">
        <f t="shared" si="1352"/>
        <v>0</v>
      </c>
      <c r="BP304" s="81">
        <f t="shared" si="1353"/>
        <v>0</v>
      </c>
      <c r="BQ304" s="81">
        <f t="shared" si="1354"/>
        <v>0</v>
      </c>
      <c r="BR304" s="81">
        <f t="shared" si="1355"/>
        <v>0</v>
      </c>
      <c r="BS304" s="81">
        <f t="shared" si="1356"/>
        <v>0</v>
      </c>
      <c r="BT304" s="81">
        <f t="shared" si="1357"/>
        <v>0</v>
      </c>
      <c r="BU304" s="81">
        <f t="shared" si="1358"/>
        <v>0</v>
      </c>
      <c r="BV304" s="81">
        <f t="shared" si="1359"/>
        <v>0</v>
      </c>
      <c r="BW304" s="81">
        <f t="shared" si="1360"/>
        <v>0</v>
      </c>
      <c r="BX304" s="1"/>
      <c r="BY304" s="1"/>
      <c r="BZ304" s="1"/>
      <c r="CA304" s="1"/>
      <c r="CB304" s="1"/>
      <c r="CC304" s="1"/>
      <c r="CD304" s="1"/>
      <c r="CE304" s="1"/>
      <c r="CF304" s="1"/>
      <c r="CG304" s="1"/>
    </row>
    <row r="305" spans="1:85" ht="15.75" customHeight="1">
      <c r="A305" s="125" t="s">
        <v>602</v>
      </c>
      <c r="B305" s="85"/>
      <c r="C305" s="86" t="s">
        <v>596</v>
      </c>
      <c r="D305" s="135" t="s">
        <v>603</v>
      </c>
      <c r="E305" s="70"/>
      <c r="F305" s="71"/>
      <c r="G305" s="71">
        <f t="shared" si="1344"/>
        <v>0</v>
      </c>
      <c r="H305" s="70"/>
      <c r="I305" s="72">
        <f t="shared" si="1276"/>
        <v>0</v>
      </c>
      <c r="J305" s="72">
        <f t="shared" si="1277"/>
        <v>0</v>
      </c>
      <c r="K305" s="73">
        <v>5436.04</v>
      </c>
      <c r="L305" s="81"/>
      <c r="M305" s="81"/>
      <c r="N305" s="88"/>
      <c r="O305" s="77">
        <f t="shared" ref="O305:Q305" si="1400">AA305+AD305+AG305+AJ305+AM305+AP305+AS305+AV305+AY305+BB305+BE305+BH305</f>
        <v>5436.04</v>
      </c>
      <c r="P305" s="77">
        <f t="shared" si="1400"/>
        <v>0</v>
      </c>
      <c r="Q305" s="77">
        <f t="shared" si="1400"/>
        <v>0</v>
      </c>
      <c r="R305" s="77">
        <f t="shared" ref="R305:T305" si="1401">IF(BK305=0,SUM(AA305+AD305+AG305+AJ305+AM305+AP305+AS305+AV305+AY305+BB305+BE305+BH305),BK305)</f>
        <v>5436.04</v>
      </c>
      <c r="S305" s="77">
        <f t="shared" si="1401"/>
        <v>0</v>
      </c>
      <c r="T305" s="77">
        <f t="shared" si="1401"/>
        <v>0</v>
      </c>
      <c r="U305" s="79">
        <f t="shared" si="1347"/>
        <v>0</v>
      </c>
      <c r="V305" s="79">
        <f t="shared" si="1348"/>
        <v>0</v>
      </c>
      <c r="W305" s="79">
        <f t="shared" si="1349"/>
        <v>0</v>
      </c>
      <c r="X305" s="80">
        <f t="shared" ref="X305:Y305" si="1402">IF(O305&gt;0,O305/K305,0)</f>
        <v>1</v>
      </c>
      <c r="Y305" s="80">
        <f t="shared" si="1402"/>
        <v>0</v>
      </c>
      <c r="Z305" s="80">
        <f t="shared" si="1280"/>
        <v>0</v>
      </c>
      <c r="AA305" s="81"/>
      <c r="AB305" s="81"/>
      <c r="AC305" s="81"/>
      <c r="AD305" s="81"/>
      <c r="AE305" s="83"/>
      <c r="AF305" s="83"/>
      <c r="AG305" s="83"/>
      <c r="AH305" s="83"/>
      <c r="AI305" s="81"/>
      <c r="AJ305" s="81"/>
      <c r="AK305" s="81"/>
      <c r="AL305" s="81"/>
      <c r="AM305" s="81"/>
      <c r="AN305" s="81"/>
      <c r="AO305" s="81"/>
      <c r="AP305" s="81"/>
      <c r="AQ305" s="81"/>
      <c r="AR305" s="81"/>
      <c r="AS305" s="81"/>
      <c r="AT305" s="81"/>
      <c r="AU305" s="81"/>
      <c r="AV305" s="81"/>
      <c r="AW305" s="81"/>
      <c r="AX305" s="81"/>
      <c r="AY305" s="82">
        <v>5436.04</v>
      </c>
      <c r="AZ305" s="81"/>
      <c r="BA305" s="81"/>
      <c r="BB305" s="81"/>
      <c r="BC305" s="81"/>
      <c r="BD305" s="81"/>
      <c r="BE305" s="81"/>
      <c r="BF305" s="81"/>
      <c r="BG305" s="81"/>
      <c r="BH305" s="81"/>
      <c r="BI305" s="81"/>
      <c r="BJ305" s="81"/>
      <c r="BK305" s="82">
        <v>5436.04</v>
      </c>
      <c r="BL305" s="82">
        <v>0</v>
      </c>
      <c r="BM305" s="82">
        <v>0</v>
      </c>
      <c r="BN305" s="81">
        <f t="shared" si="1351"/>
        <v>0</v>
      </c>
      <c r="BO305" s="75">
        <f t="shared" si="1352"/>
        <v>0</v>
      </c>
      <c r="BP305" s="81">
        <f t="shared" si="1353"/>
        <v>0</v>
      </c>
      <c r="BQ305" s="81">
        <f t="shared" si="1354"/>
        <v>0</v>
      </c>
      <c r="BR305" s="81">
        <f t="shared" si="1355"/>
        <v>0</v>
      </c>
      <c r="BS305" s="81">
        <f t="shared" si="1356"/>
        <v>0</v>
      </c>
      <c r="BT305" s="81">
        <f t="shared" si="1357"/>
        <v>0</v>
      </c>
      <c r="BU305" s="81">
        <f t="shared" si="1358"/>
        <v>0</v>
      </c>
      <c r="BV305" s="81">
        <f t="shared" si="1359"/>
        <v>0</v>
      </c>
      <c r="BW305" s="81">
        <f t="shared" si="1360"/>
        <v>0</v>
      </c>
      <c r="BX305" s="1"/>
      <c r="BY305" s="1"/>
      <c r="BZ305" s="1"/>
      <c r="CA305" s="1"/>
      <c r="CB305" s="1"/>
      <c r="CC305" s="1"/>
      <c r="CD305" s="1"/>
      <c r="CE305" s="1"/>
      <c r="CF305" s="1"/>
      <c r="CG305" s="1"/>
    </row>
    <row r="306" spans="1:85" ht="15.75" customHeight="1">
      <c r="A306" s="125" t="s">
        <v>604</v>
      </c>
      <c r="B306" s="85"/>
      <c r="C306" s="86" t="s">
        <v>596</v>
      </c>
      <c r="D306" s="135" t="s">
        <v>605</v>
      </c>
      <c r="E306" s="70"/>
      <c r="F306" s="71"/>
      <c r="G306" s="71">
        <f t="shared" si="1344"/>
        <v>0</v>
      </c>
      <c r="H306" s="70"/>
      <c r="I306" s="72">
        <f t="shared" si="1276"/>
        <v>0</v>
      </c>
      <c r="J306" s="72">
        <f t="shared" si="1277"/>
        <v>0</v>
      </c>
      <c r="K306" s="73">
        <v>802</v>
      </c>
      <c r="L306" s="81"/>
      <c r="M306" s="81"/>
      <c r="N306" s="88"/>
      <c r="O306" s="77">
        <f t="shared" ref="O306:Q306" si="1403">AA306+AD306+AG306+AJ306+AM306+AP306+AS306+AV306+AY306+BB306+BE306+BH306</f>
        <v>802</v>
      </c>
      <c r="P306" s="77">
        <f t="shared" si="1403"/>
        <v>0</v>
      </c>
      <c r="Q306" s="77">
        <f t="shared" si="1403"/>
        <v>0</v>
      </c>
      <c r="R306" s="77">
        <f t="shared" ref="R306:T306" si="1404">IF(BK306=0,SUM(AA306+AD306+AG306+AJ306+AM306+AP306+AS306+AV306+AY306+BB306+BE306+BH306),BK306)</f>
        <v>802</v>
      </c>
      <c r="S306" s="77">
        <f t="shared" si="1404"/>
        <v>0</v>
      </c>
      <c r="T306" s="77">
        <f t="shared" si="1404"/>
        <v>0</v>
      </c>
      <c r="U306" s="78">
        <f t="shared" si="1347"/>
        <v>0</v>
      </c>
      <c r="V306" s="79">
        <f t="shared" si="1348"/>
        <v>0</v>
      </c>
      <c r="W306" s="79">
        <f t="shared" si="1349"/>
        <v>0</v>
      </c>
      <c r="X306" s="80">
        <f t="shared" ref="X306:Y306" si="1405">IF(O306&gt;0,O306/K306,0)</f>
        <v>1</v>
      </c>
      <c r="Y306" s="80">
        <f t="shared" si="1405"/>
        <v>0</v>
      </c>
      <c r="Z306" s="80">
        <f t="shared" si="1280"/>
        <v>0</v>
      </c>
      <c r="AA306" s="81"/>
      <c r="AB306" s="81"/>
      <c r="AC306" s="81"/>
      <c r="AD306" s="81"/>
      <c r="AE306" s="83"/>
      <c r="AF306" s="83"/>
      <c r="AG306" s="83"/>
      <c r="AH306" s="83"/>
      <c r="AI306" s="81"/>
      <c r="AJ306" s="81"/>
      <c r="AK306" s="81"/>
      <c r="AL306" s="81"/>
      <c r="AM306" s="81"/>
      <c r="AN306" s="81"/>
      <c r="AO306" s="81"/>
      <c r="AP306" s="81"/>
      <c r="AQ306" s="81"/>
      <c r="AR306" s="81"/>
      <c r="AS306" s="81"/>
      <c r="AT306" s="81"/>
      <c r="AU306" s="81"/>
      <c r="AV306" s="81"/>
      <c r="AW306" s="81"/>
      <c r="AX306" s="81"/>
      <c r="AY306" s="81"/>
      <c r="AZ306" s="81"/>
      <c r="BA306" s="81"/>
      <c r="BB306" s="81"/>
      <c r="BC306" s="81"/>
      <c r="BD306" s="81"/>
      <c r="BE306" s="81">
        <f>802</f>
        <v>802</v>
      </c>
      <c r="BF306" s="81"/>
      <c r="BG306" s="81"/>
      <c r="BH306" s="81"/>
      <c r="BI306" s="81"/>
      <c r="BJ306" s="81"/>
      <c r="BK306" s="82">
        <v>802</v>
      </c>
      <c r="BL306" s="82">
        <v>0</v>
      </c>
      <c r="BM306" s="82">
        <v>0</v>
      </c>
      <c r="BN306" s="81">
        <f t="shared" si="1351"/>
        <v>0</v>
      </c>
      <c r="BO306" s="75">
        <f t="shared" si="1352"/>
        <v>0</v>
      </c>
      <c r="BP306" s="81">
        <f t="shared" si="1353"/>
        <v>0</v>
      </c>
      <c r="BQ306" s="81">
        <f t="shared" si="1354"/>
        <v>0</v>
      </c>
      <c r="BR306" s="81">
        <f t="shared" si="1355"/>
        <v>0</v>
      </c>
      <c r="BS306" s="81">
        <f t="shared" si="1356"/>
        <v>0</v>
      </c>
      <c r="BT306" s="81">
        <f t="shared" si="1357"/>
        <v>0</v>
      </c>
      <c r="BU306" s="81">
        <f t="shared" si="1358"/>
        <v>0</v>
      </c>
      <c r="BV306" s="81">
        <f t="shared" si="1359"/>
        <v>0</v>
      </c>
      <c r="BW306" s="81">
        <f t="shared" si="1360"/>
        <v>0</v>
      </c>
      <c r="BX306" s="1"/>
      <c r="BY306" s="1"/>
      <c r="BZ306" s="1"/>
      <c r="CA306" s="1"/>
      <c r="CB306" s="1"/>
      <c r="CC306" s="1"/>
      <c r="CD306" s="1"/>
      <c r="CE306" s="1"/>
      <c r="CF306" s="1"/>
      <c r="CG306" s="1"/>
    </row>
    <row r="307" spans="1:85" ht="15.75" customHeight="1">
      <c r="A307" s="125" t="s">
        <v>606</v>
      </c>
      <c r="B307" s="85"/>
      <c r="C307" s="86" t="s">
        <v>596</v>
      </c>
      <c r="D307" s="135" t="s">
        <v>607</v>
      </c>
      <c r="E307" s="70"/>
      <c r="F307" s="71"/>
      <c r="G307" s="71">
        <f t="shared" si="1344"/>
        <v>0</v>
      </c>
      <c r="H307" s="70"/>
      <c r="I307" s="72">
        <f t="shared" si="1276"/>
        <v>0</v>
      </c>
      <c r="J307" s="72">
        <f t="shared" si="1277"/>
        <v>0</v>
      </c>
      <c r="K307" s="73">
        <v>1545</v>
      </c>
      <c r="L307" s="81"/>
      <c r="M307" s="81"/>
      <c r="N307" s="88"/>
      <c r="O307" s="77">
        <f t="shared" ref="O307:Q307" si="1406">AA307+AD307+AG307+AJ307+AM307+AP307+AS307+AV307+AY307+BB307+BE307+BH307</f>
        <v>1545</v>
      </c>
      <c r="P307" s="77">
        <f t="shared" si="1406"/>
        <v>0</v>
      </c>
      <c r="Q307" s="77">
        <f t="shared" si="1406"/>
        <v>0</v>
      </c>
      <c r="R307" s="77">
        <f t="shared" ref="R307:T307" si="1407">IF(BK307=0,SUM(AA307+AD307+AG307+AJ307+AM307+AP307+AS307+AV307+AY307+BB307+BE307+BH307),BK307)</f>
        <v>1545</v>
      </c>
      <c r="S307" s="77">
        <f t="shared" si="1407"/>
        <v>0</v>
      </c>
      <c r="T307" s="77">
        <f t="shared" si="1407"/>
        <v>0</v>
      </c>
      <c r="U307" s="79">
        <f t="shared" si="1347"/>
        <v>0</v>
      </c>
      <c r="V307" s="79">
        <f t="shared" si="1348"/>
        <v>0</v>
      </c>
      <c r="W307" s="79">
        <f t="shared" si="1349"/>
        <v>0</v>
      </c>
      <c r="X307" s="80">
        <f t="shared" ref="X307:Y307" si="1408">IF(O307&gt;0,O307/K307,0)</f>
        <v>1</v>
      </c>
      <c r="Y307" s="80">
        <f t="shared" si="1408"/>
        <v>0</v>
      </c>
      <c r="Z307" s="80">
        <f t="shared" si="1280"/>
        <v>0</v>
      </c>
      <c r="AA307" s="81"/>
      <c r="AB307" s="81"/>
      <c r="AC307" s="81"/>
      <c r="AD307" s="81"/>
      <c r="AE307" s="83"/>
      <c r="AF307" s="83"/>
      <c r="AG307" s="83"/>
      <c r="AH307" s="83"/>
      <c r="AI307" s="81"/>
      <c r="AJ307" s="81"/>
      <c r="AK307" s="81"/>
      <c r="AL307" s="81"/>
      <c r="AM307" s="81"/>
      <c r="AN307" s="81"/>
      <c r="AO307" s="81"/>
      <c r="AP307" s="81"/>
      <c r="AQ307" s="81"/>
      <c r="AR307" s="81"/>
      <c r="AS307" s="81"/>
      <c r="AT307" s="81"/>
      <c r="AU307" s="81"/>
      <c r="AV307" s="81"/>
      <c r="AW307" s="81"/>
      <c r="AX307" s="81"/>
      <c r="AY307" s="81"/>
      <c r="AZ307" s="81"/>
      <c r="BA307" s="81"/>
      <c r="BB307" s="81">
        <f>1545</f>
        <v>1545</v>
      </c>
      <c r="BC307" s="81"/>
      <c r="BD307" s="81"/>
      <c r="BE307" s="81"/>
      <c r="BF307" s="81"/>
      <c r="BG307" s="81"/>
      <c r="BH307" s="81"/>
      <c r="BI307" s="81"/>
      <c r="BJ307" s="81"/>
      <c r="BK307" s="82">
        <v>1545</v>
      </c>
      <c r="BL307" s="82">
        <v>0</v>
      </c>
      <c r="BM307" s="82">
        <v>0</v>
      </c>
      <c r="BN307" s="81">
        <f t="shared" si="1351"/>
        <v>0</v>
      </c>
      <c r="BO307" s="75">
        <f t="shared" si="1352"/>
        <v>0</v>
      </c>
      <c r="BP307" s="81">
        <f t="shared" si="1353"/>
        <v>0</v>
      </c>
      <c r="BQ307" s="81">
        <f t="shared" si="1354"/>
        <v>0</v>
      </c>
      <c r="BR307" s="81">
        <f t="shared" si="1355"/>
        <v>0</v>
      </c>
      <c r="BS307" s="81">
        <f t="shared" si="1356"/>
        <v>0</v>
      </c>
      <c r="BT307" s="81">
        <f t="shared" si="1357"/>
        <v>0</v>
      </c>
      <c r="BU307" s="81">
        <f t="shared" si="1358"/>
        <v>0</v>
      </c>
      <c r="BV307" s="81">
        <f t="shared" si="1359"/>
        <v>0</v>
      </c>
      <c r="BW307" s="81">
        <f t="shared" si="1360"/>
        <v>0</v>
      </c>
      <c r="BX307" s="1"/>
      <c r="BY307" s="1"/>
      <c r="BZ307" s="1"/>
      <c r="CA307" s="1"/>
      <c r="CB307" s="1"/>
      <c r="CC307" s="1"/>
      <c r="CD307" s="1"/>
      <c r="CE307" s="1"/>
      <c r="CF307" s="1"/>
      <c r="CG307" s="1"/>
    </row>
    <row r="308" spans="1:85" ht="15.75" customHeight="1">
      <c r="A308" s="125" t="s">
        <v>608</v>
      </c>
      <c r="B308" s="85"/>
      <c r="C308" s="86" t="s">
        <v>596</v>
      </c>
      <c r="D308" s="135" t="s">
        <v>609</v>
      </c>
      <c r="E308" s="70"/>
      <c r="F308" s="71"/>
      <c r="G308" s="71">
        <f t="shared" si="1344"/>
        <v>0</v>
      </c>
      <c r="H308" s="70"/>
      <c r="I308" s="72">
        <f t="shared" si="1276"/>
        <v>0</v>
      </c>
      <c r="J308" s="72">
        <f t="shared" si="1277"/>
        <v>0</v>
      </c>
      <c r="K308" s="73">
        <v>786</v>
      </c>
      <c r="L308" s="81"/>
      <c r="M308" s="81"/>
      <c r="N308" s="88"/>
      <c r="O308" s="77">
        <f t="shared" ref="O308:Q308" si="1409">AA308+AD308+AG308+AJ308+AM308+AP308+AS308+AV308+AY308+BB308+BE308+BH308</f>
        <v>786</v>
      </c>
      <c r="P308" s="77">
        <f t="shared" si="1409"/>
        <v>0</v>
      </c>
      <c r="Q308" s="77">
        <f t="shared" si="1409"/>
        <v>0</v>
      </c>
      <c r="R308" s="77">
        <f t="shared" ref="R308:T308" si="1410">IF(BK308=0,SUM(AA308+AD308+AG308+AJ308+AM308+AP308+AS308+AV308+AY308+BB308+BE308+BH308),BK308)</f>
        <v>786</v>
      </c>
      <c r="S308" s="77">
        <f t="shared" si="1410"/>
        <v>0</v>
      </c>
      <c r="T308" s="77">
        <f t="shared" si="1410"/>
        <v>0</v>
      </c>
      <c r="U308" s="78">
        <f t="shared" si="1347"/>
        <v>0</v>
      </c>
      <c r="V308" s="79">
        <f t="shared" si="1348"/>
        <v>0</v>
      </c>
      <c r="W308" s="79">
        <f t="shared" si="1349"/>
        <v>0</v>
      </c>
      <c r="X308" s="80">
        <f t="shared" ref="X308:Y308" si="1411">IF(O308&gt;0,O308/K308,0)</f>
        <v>1</v>
      </c>
      <c r="Y308" s="80">
        <f t="shared" si="1411"/>
        <v>0</v>
      </c>
      <c r="Z308" s="80">
        <f t="shared" si="1280"/>
        <v>0</v>
      </c>
      <c r="AA308" s="81"/>
      <c r="AB308" s="81"/>
      <c r="AC308" s="81"/>
      <c r="AD308" s="81"/>
      <c r="AE308" s="83"/>
      <c r="AF308" s="83"/>
      <c r="AG308" s="83"/>
      <c r="AH308" s="83"/>
      <c r="AI308" s="81"/>
      <c r="AJ308" s="81"/>
      <c r="AK308" s="81"/>
      <c r="AL308" s="81"/>
      <c r="AM308" s="81"/>
      <c r="AN308" s="81"/>
      <c r="AO308" s="81"/>
      <c r="AP308" s="81"/>
      <c r="AQ308" s="81"/>
      <c r="AR308" s="81"/>
      <c r="AS308" s="81"/>
      <c r="AT308" s="81"/>
      <c r="AU308" s="81"/>
      <c r="AV308" s="81"/>
      <c r="AW308" s="81"/>
      <c r="AX308" s="81"/>
      <c r="AY308" s="81"/>
      <c r="AZ308" s="81"/>
      <c r="BA308" s="81"/>
      <c r="BB308" s="81"/>
      <c r="BC308" s="81"/>
      <c r="BD308" s="81"/>
      <c r="BE308" s="81">
        <f>786</f>
        <v>786</v>
      </c>
      <c r="BF308" s="81"/>
      <c r="BG308" s="81"/>
      <c r="BH308" s="81"/>
      <c r="BI308" s="81"/>
      <c r="BJ308" s="81"/>
      <c r="BK308" s="82">
        <v>786</v>
      </c>
      <c r="BL308" s="82">
        <v>0</v>
      </c>
      <c r="BM308" s="82">
        <v>0</v>
      </c>
      <c r="BN308" s="81">
        <f t="shared" si="1351"/>
        <v>0</v>
      </c>
      <c r="BO308" s="75">
        <f t="shared" si="1352"/>
        <v>0</v>
      </c>
      <c r="BP308" s="81">
        <f t="shared" si="1353"/>
        <v>0</v>
      </c>
      <c r="BQ308" s="81">
        <f t="shared" si="1354"/>
        <v>0</v>
      </c>
      <c r="BR308" s="81">
        <f t="shared" si="1355"/>
        <v>0</v>
      </c>
      <c r="BS308" s="81">
        <f t="shared" si="1356"/>
        <v>0</v>
      </c>
      <c r="BT308" s="81">
        <f t="shared" si="1357"/>
        <v>0</v>
      </c>
      <c r="BU308" s="81">
        <f t="shared" si="1358"/>
        <v>0</v>
      </c>
      <c r="BV308" s="81">
        <f t="shared" si="1359"/>
        <v>0</v>
      </c>
      <c r="BW308" s="81">
        <f t="shared" si="1360"/>
        <v>0</v>
      </c>
      <c r="BX308" s="1"/>
      <c r="BY308" s="1"/>
      <c r="BZ308" s="1"/>
      <c r="CA308" s="1"/>
      <c r="CB308" s="1"/>
      <c r="CC308" s="1"/>
      <c r="CD308" s="1"/>
      <c r="CE308" s="1"/>
      <c r="CF308" s="1"/>
      <c r="CG308" s="1"/>
    </row>
    <row r="309" spans="1:85" ht="15.75" customHeight="1">
      <c r="A309" s="84"/>
      <c r="B309" s="85"/>
      <c r="C309" s="86" t="s">
        <v>610</v>
      </c>
      <c r="D309" s="292" t="s">
        <v>611</v>
      </c>
      <c r="E309" s="70">
        <v>2000</v>
      </c>
      <c r="F309" s="71"/>
      <c r="G309" s="71">
        <f t="shared" si="1344"/>
        <v>2000</v>
      </c>
      <c r="H309" s="70"/>
      <c r="I309" s="72">
        <f t="shared" si="1276"/>
        <v>0</v>
      </c>
      <c r="J309" s="72">
        <f t="shared" si="1277"/>
        <v>0</v>
      </c>
      <c r="K309" s="88"/>
      <c r="L309" s="81"/>
      <c r="M309" s="81"/>
      <c r="N309" s="88"/>
      <c r="O309" s="77">
        <f t="shared" ref="O309:Q309" si="1412">AA309+AD309+AG309+AJ309+AM309+AP309+AS309+AV309+AY309+BB309+BE309+BH309</f>
        <v>0</v>
      </c>
      <c r="P309" s="77">
        <f t="shared" si="1412"/>
        <v>0</v>
      </c>
      <c r="Q309" s="77">
        <f t="shared" si="1412"/>
        <v>0</v>
      </c>
      <c r="R309" s="77">
        <f t="shared" ref="R309:T309" si="1413">IF(BK309=0,SUM(AA309+AD309+AG309+AJ309+AM309+AP309+AS309+AV309+AY309+BB309+BE309+BH309),BK309)</f>
        <v>0</v>
      </c>
      <c r="S309" s="77">
        <f t="shared" si="1413"/>
        <v>0</v>
      </c>
      <c r="T309" s="77">
        <f t="shared" si="1413"/>
        <v>0</v>
      </c>
      <c r="U309" s="79">
        <f t="shared" si="1347"/>
        <v>0</v>
      </c>
      <c r="V309" s="79">
        <f t="shared" si="1348"/>
        <v>0</v>
      </c>
      <c r="W309" s="79">
        <f t="shared" si="1349"/>
        <v>0</v>
      </c>
      <c r="X309" s="80">
        <f t="shared" ref="X309:Y309" si="1414">IF(O309&gt;0,O309/K309,0)</f>
        <v>0</v>
      </c>
      <c r="Y309" s="80">
        <f t="shared" si="1414"/>
        <v>0</v>
      </c>
      <c r="Z309" s="80">
        <f t="shared" si="1280"/>
        <v>0</v>
      </c>
      <c r="AA309" s="81"/>
      <c r="AB309" s="81"/>
      <c r="AC309" s="81"/>
      <c r="AD309" s="81"/>
      <c r="AE309" s="83"/>
      <c r="AF309" s="83"/>
      <c r="AG309" s="83"/>
      <c r="AH309" s="83"/>
      <c r="AI309" s="81"/>
      <c r="AJ309" s="81"/>
      <c r="AK309" s="81"/>
      <c r="AL309" s="81"/>
      <c r="AM309" s="81"/>
      <c r="AN309" s="81"/>
      <c r="AO309" s="81"/>
      <c r="AP309" s="81"/>
      <c r="AQ309" s="81"/>
      <c r="AR309" s="81"/>
      <c r="AS309" s="81"/>
      <c r="AT309" s="81"/>
      <c r="AU309" s="81"/>
      <c r="AV309" s="81"/>
      <c r="AW309" s="81"/>
      <c r="AX309" s="81"/>
      <c r="AY309" s="81"/>
      <c r="AZ309" s="81"/>
      <c r="BA309" s="81"/>
      <c r="BB309" s="81"/>
      <c r="BC309" s="81"/>
      <c r="BD309" s="81"/>
      <c r="BE309" s="81"/>
      <c r="BF309" s="81"/>
      <c r="BG309" s="81"/>
      <c r="BH309" s="81"/>
      <c r="BI309" s="81"/>
      <c r="BJ309" s="81"/>
      <c r="BK309" s="82">
        <v>0</v>
      </c>
      <c r="BL309" s="82">
        <v>0</v>
      </c>
      <c r="BM309" s="82">
        <v>0</v>
      </c>
      <c r="BN309" s="81">
        <f t="shared" si="1351"/>
        <v>0</v>
      </c>
      <c r="BO309" s="75">
        <f t="shared" si="1352"/>
        <v>0</v>
      </c>
      <c r="BP309" s="81">
        <f t="shared" si="1353"/>
        <v>0</v>
      </c>
      <c r="BQ309" s="81">
        <f t="shared" si="1354"/>
        <v>0</v>
      </c>
      <c r="BR309" s="81">
        <f t="shared" si="1355"/>
        <v>0</v>
      </c>
      <c r="BS309" s="81">
        <f t="shared" si="1356"/>
        <v>0</v>
      </c>
      <c r="BT309" s="81">
        <f t="shared" si="1357"/>
        <v>0</v>
      </c>
      <c r="BU309" s="81">
        <f t="shared" si="1358"/>
        <v>0</v>
      </c>
      <c r="BV309" s="81">
        <f t="shared" si="1359"/>
        <v>0</v>
      </c>
      <c r="BW309" s="81">
        <f t="shared" si="1360"/>
        <v>0</v>
      </c>
      <c r="BX309" s="1"/>
      <c r="BY309" s="1"/>
      <c r="BZ309" s="1"/>
      <c r="CA309" s="1"/>
      <c r="CB309" s="1"/>
      <c r="CC309" s="1"/>
      <c r="CD309" s="1"/>
      <c r="CE309" s="1"/>
      <c r="CF309" s="1"/>
      <c r="CG309" s="1"/>
    </row>
    <row r="310" spans="1:85" ht="15.75" customHeight="1">
      <c r="A310" s="270"/>
      <c r="B310" s="271"/>
      <c r="C310" s="272"/>
      <c r="D310" s="112" t="s">
        <v>452</v>
      </c>
      <c r="E310" s="58">
        <f t="shared" ref="E310:H310" si="1415">E311</f>
        <v>0</v>
      </c>
      <c r="F310" s="58">
        <f t="shared" si="1415"/>
        <v>0</v>
      </c>
      <c r="G310" s="58">
        <f t="shared" si="1415"/>
        <v>0</v>
      </c>
      <c r="H310" s="58">
        <f t="shared" si="1415"/>
        <v>0</v>
      </c>
      <c r="I310" s="60">
        <f t="shared" si="1276"/>
        <v>0</v>
      </c>
      <c r="J310" s="60">
        <f t="shared" si="1277"/>
        <v>0</v>
      </c>
      <c r="K310" s="59">
        <f t="shared" ref="K310:W310" si="1416">K311</f>
        <v>0</v>
      </c>
      <c r="L310" s="59">
        <f t="shared" si="1416"/>
        <v>0</v>
      </c>
      <c r="M310" s="59">
        <f t="shared" si="1416"/>
        <v>0</v>
      </c>
      <c r="N310" s="59">
        <f t="shared" si="1416"/>
        <v>0</v>
      </c>
      <c r="O310" s="59">
        <f t="shared" si="1416"/>
        <v>0</v>
      </c>
      <c r="P310" s="59">
        <f t="shared" si="1416"/>
        <v>0</v>
      </c>
      <c r="Q310" s="59">
        <f t="shared" si="1416"/>
        <v>0</v>
      </c>
      <c r="R310" s="59">
        <f t="shared" si="1416"/>
        <v>0</v>
      </c>
      <c r="S310" s="59">
        <f t="shared" si="1416"/>
        <v>0</v>
      </c>
      <c r="T310" s="59">
        <f t="shared" si="1416"/>
        <v>0</v>
      </c>
      <c r="U310" s="59">
        <f t="shared" si="1416"/>
        <v>0</v>
      </c>
      <c r="V310" s="59">
        <f t="shared" si="1416"/>
        <v>0</v>
      </c>
      <c r="W310" s="59">
        <f t="shared" si="1416"/>
        <v>0</v>
      </c>
      <c r="X310" s="63">
        <f t="shared" ref="X310:Y310" si="1417">IF(O310&gt;0,O310/K310,0)</f>
        <v>0</v>
      </c>
      <c r="Y310" s="63">
        <f t="shared" si="1417"/>
        <v>0</v>
      </c>
      <c r="Z310" s="63">
        <f t="shared" si="1280"/>
        <v>0</v>
      </c>
      <c r="AA310" s="59">
        <f t="shared" ref="AA310:BW310" si="1418">AA311</f>
        <v>0</v>
      </c>
      <c r="AB310" s="59">
        <f t="shared" si="1418"/>
        <v>0</v>
      </c>
      <c r="AC310" s="59">
        <f t="shared" si="1418"/>
        <v>0</v>
      </c>
      <c r="AD310" s="59">
        <f t="shared" si="1418"/>
        <v>0</v>
      </c>
      <c r="AE310" s="59">
        <f t="shared" si="1418"/>
        <v>0</v>
      </c>
      <c r="AF310" s="59">
        <f t="shared" si="1418"/>
        <v>0</v>
      </c>
      <c r="AG310" s="59">
        <f t="shared" si="1418"/>
        <v>0</v>
      </c>
      <c r="AH310" s="59">
        <f t="shared" si="1418"/>
        <v>0</v>
      </c>
      <c r="AI310" s="59">
        <f t="shared" si="1418"/>
        <v>0</v>
      </c>
      <c r="AJ310" s="59">
        <f t="shared" si="1418"/>
        <v>0</v>
      </c>
      <c r="AK310" s="59">
        <f t="shared" si="1418"/>
        <v>0</v>
      </c>
      <c r="AL310" s="59">
        <f t="shared" si="1418"/>
        <v>0</v>
      </c>
      <c r="AM310" s="59">
        <f t="shared" si="1418"/>
        <v>0</v>
      </c>
      <c r="AN310" s="59">
        <f t="shared" si="1418"/>
        <v>0</v>
      </c>
      <c r="AO310" s="59">
        <f t="shared" si="1418"/>
        <v>0</v>
      </c>
      <c r="AP310" s="59">
        <f t="shared" si="1418"/>
        <v>0</v>
      </c>
      <c r="AQ310" s="59">
        <f t="shared" si="1418"/>
        <v>0</v>
      </c>
      <c r="AR310" s="59">
        <f t="shared" si="1418"/>
        <v>0</v>
      </c>
      <c r="AS310" s="59">
        <f t="shared" si="1418"/>
        <v>0</v>
      </c>
      <c r="AT310" s="59">
        <f t="shared" si="1418"/>
        <v>0</v>
      </c>
      <c r="AU310" s="59">
        <f t="shared" si="1418"/>
        <v>0</v>
      </c>
      <c r="AV310" s="59">
        <f t="shared" si="1418"/>
        <v>0</v>
      </c>
      <c r="AW310" s="59">
        <f t="shared" si="1418"/>
        <v>0</v>
      </c>
      <c r="AX310" s="59">
        <f t="shared" si="1418"/>
        <v>0</v>
      </c>
      <c r="AY310" s="59">
        <f t="shared" si="1418"/>
        <v>0</v>
      </c>
      <c r="AZ310" s="59">
        <f t="shared" si="1418"/>
        <v>0</v>
      </c>
      <c r="BA310" s="59">
        <f t="shared" si="1418"/>
        <v>0</v>
      </c>
      <c r="BB310" s="59">
        <f t="shared" si="1418"/>
        <v>0</v>
      </c>
      <c r="BC310" s="59">
        <f t="shared" si="1418"/>
        <v>0</v>
      </c>
      <c r="BD310" s="59">
        <f t="shared" si="1418"/>
        <v>0</v>
      </c>
      <c r="BE310" s="59">
        <f t="shared" si="1418"/>
        <v>0</v>
      </c>
      <c r="BF310" s="59">
        <f t="shared" si="1418"/>
        <v>0</v>
      </c>
      <c r="BG310" s="59">
        <f t="shared" si="1418"/>
        <v>0</v>
      </c>
      <c r="BH310" s="59">
        <f t="shared" si="1418"/>
        <v>0</v>
      </c>
      <c r="BI310" s="59">
        <f t="shared" si="1418"/>
        <v>0</v>
      </c>
      <c r="BJ310" s="59">
        <f t="shared" si="1418"/>
        <v>0</v>
      </c>
      <c r="BK310" s="59">
        <f t="shared" si="1418"/>
        <v>0</v>
      </c>
      <c r="BL310" s="59">
        <f t="shared" si="1418"/>
        <v>0</v>
      </c>
      <c r="BM310" s="59">
        <f t="shared" si="1418"/>
        <v>0</v>
      </c>
      <c r="BN310" s="59">
        <f t="shared" si="1418"/>
        <v>0</v>
      </c>
      <c r="BO310" s="59">
        <f t="shared" si="1418"/>
        <v>0</v>
      </c>
      <c r="BP310" s="59">
        <f t="shared" si="1418"/>
        <v>0</v>
      </c>
      <c r="BQ310" s="59">
        <f t="shared" si="1418"/>
        <v>0</v>
      </c>
      <c r="BR310" s="59">
        <f t="shared" si="1418"/>
        <v>0</v>
      </c>
      <c r="BS310" s="59">
        <f t="shared" si="1418"/>
        <v>0</v>
      </c>
      <c r="BT310" s="59">
        <f t="shared" si="1418"/>
        <v>0</v>
      </c>
      <c r="BU310" s="59">
        <f t="shared" si="1418"/>
        <v>0</v>
      </c>
      <c r="BV310" s="59">
        <f t="shared" si="1418"/>
        <v>0</v>
      </c>
      <c r="BW310" s="59">
        <f t="shared" si="1418"/>
        <v>0</v>
      </c>
      <c r="BX310" s="1"/>
      <c r="BY310" s="1"/>
      <c r="BZ310" s="1"/>
      <c r="CA310" s="1"/>
      <c r="CB310" s="1"/>
      <c r="CC310" s="1"/>
      <c r="CD310" s="1"/>
      <c r="CE310" s="1"/>
      <c r="CF310" s="1"/>
      <c r="CG310" s="1"/>
    </row>
    <row r="311" spans="1:85" ht="15.75" customHeight="1">
      <c r="A311" s="108"/>
      <c r="B311" s="115"/>
      <c r="C311" s="86" t="s">
        <v>453</v>
      </c>
      <c r="D311" s="149" t="s">
        <v>612</v>
      </c>
      <c r="E311" s="70">
        <v>0</v>
      </c>
      <c r="F311" s="71"/>
      <c r="G311" s="71">
        <f>E311-F311</f>
        <v>0</v>
      </c>
      <c r="H311" s="127">
        <v>0</v>
      </c>
      <c r="I311" s="72">
        <f t="shared" si="1276"/>
        <v>0</v>
      </c>
      <c r="J311" s="72">
        <f t="shared" si="1277"/>
        <v>0</v>
      </c>
      <c r="K311" s="88"/>
      <c r="L311" s="81"/>
      <c r="M311" s="81"/>
      <c r="N311" s="88"/>
      <c r="O311" s="77">
        <f t="shared" ref="O311:Q311" si="1419">AA311+AD311+AG311+AJ311+AM311+AP311+AS311+AV311+AY311+BB311+BE311+BH311</f>
        <v>0</v>
      </c>
      <c r="P311" s="77">
        <f t="shared" si="1419"/>
        <v>0</v>
      </c>
      <c r="Q311" s="77">
        <f t="shared" si="1419"/>
        <v>0</v>
      </c>
      <c r="R311" s="77">
        <f t="shared" ref="R311:T311" si="1420">IF(BK311=0,SUM(AA311+AD311+AG311+AJ311+AM311+AP311+AS311+AV311+AY311+BB311+BE311+BH311),BK311)</f>
        <v>0</v>
      </c>
      <c r="S311" s="77">
        <f t="shared" si="1420"/>
        <v>0</v>
      </c>
      <c r="T311" s="77">
        <f t="shared" si="1420"/>
        <v>0</v>
      </c>
      <c r="U311" s="79">
        <f>K311-O311</f>
        <v>0</v>
      </c>
      <c r="V311" s="79">
        <f>L311-M311-S311</f>
        <v>0</v>
      </c>
      <c r="W311" s="79">
        <f>N311-Q311</f>
        <v>0</v>
      </c>
      <c r="X311" s="80">
        <f t="shared" ref="X311:Y311" si="1421">IF(O311&gt;0,O311/K311,0)</f>
        <v>0</v>
      </c>
      <c r="Y311" s="80">
        <f t="shared" si="1421"/>
        <v>0</v>
      </c>
      <c r="Z311" s="80">
        <f t="shared" si="1280"/>
        <v>0</v>
      </c>
      <c r="AA311" s="81"/>
      <c r="AB311" s="81"/>
      <c r="AC311" s="81"/>
      <c r="AD311" s="81"/>
      <c r="AE311" s="83"/>
      <c r="AF311" s="83"/>
      <c r="AG311" s="83"/>
      <c r="AH311" s="83"/>
      <c r="AI311" s="81"/>
      <c r="AJ311" s="81"/>
      <c r="AK311" s="81"/>
      <c r="AL311" s="81"/>
      <c r="AM311" s="81"/>
      <c r="AN311" s="81"/>
      <c r="AO311" s="81"/>
      <c r="AP311" s="81"/>
      <c r="AQ311" s="81"/>
      <c r="AR311" s="81"/>
      <c r="AS311" s="81"/>
      <c r="AT311" s="81"/>
      <c r="AU311" s="81"/>
      <c r="AV311" s="81"/>
      <c r="AW311" s="81"/>
      <c r="AX311" s="81"/>
      <c r="AY311" s="81"/>
      <c r="AZ311" s="81"/>
      <c r="BA311" s="81"/>
      <c r="BB311" s="81"/>
      <c r="BC311" s="81"/>
      <c r="BD311" s="81"/>
      <c r="BE311" s="81"/>
      <c r="BF311" s="81"/>
      <c r="BG311" s="81"/>
      <c r="BH311" s="81"/>
      <c r="BI311" s="81"/>
      <c r="BJ311" s="81"/>
      <c r="BK311" s="82">
        <v>0</v>
      </c>
      <c r="BL311" s="82">
        <v>0</v>
      </c>
      <c r="BM311" s="82">
        <v>0</v>
      </c>
      <c r="BN311" s="81">
        <f>IF(O311-BK311&gt;0,O311-BK311,0)</f>
        <v>0</v>
      </c>
      <c r="BO311" s="75">
        <f>IF(Q311-BM311&gt;0,Q311-BM311,0)</f>
        <v>0</v>
      </c>
      <c r="BP311" s="81">
        <f>IF(BN311+BO311&gt;0,BN311+BO311,0)</f>
        <v>0</v>
      </c>
      <c r="BQ311" s="81">
        <f>IF(U311=0,0,U311)</f>
        <v>0</v>
      </c>
      <c r="BR311" s="81">
        <f>IF(W311=0,0,W311)</f>
        <v>0</v>
      </c>
      <c r="BS311" s="81">
        <f>IF(BQ311+BR311&gt;0,BQ311+BR311,0)</f>
        <v>0</v>
      </c>
      <c r="BT311" s="81">
        <f>IF(V311&gt;0,V311,0)</f>
        <v>0</v>
      </c>
      <c r="BU311" s="81">
        <f>IF(BP311=0,0,BP311)</f>
        <v>0</v>
      </c>
      <c r="BV311" s="81">
        <f>IF(BS311=0,0,BS311)</f>
        <v>0</v>
      </c>
      <c r="BW311" s="81">
        <f>IF(BP311+BT311+BV311&gt;0,BP311+BT311+BV311,0)</f>
        <v>0</v>
      </c>
      <c r="BX311" s="1"/>
      <c r="BY311" s="1"/>
      <c r="BZ311" s="1"/>
      <c r="CA311" s="1"/>
      <c r="CB311" s="1"/>
      <c r="CC311" s="1"/>
      <c r="CD311" s="1"/>
      <c r="CE311" s="1"/>
      <c r="CF311" s="1"/>
      <c r="CG311" s="1"/>
    </row>
    <row r="312" spans="1:85" ht="15.75" customHeight="1">
      <c r="A312" s="270"/>
      <c r="B312" s="271"/>
      <c r="C312" s="272"/>
      <c r="D312" s="112" t="s">
        <v>224</v>
      </c>
      <c r="E312" s="58">
        <f t="shared" ref="E312:H312" si="1422">SUM(E313:E314)</f>
        <v>0</v>
      </c>
      <c r="F312" s="58">
        <f t="shared" si="1422"/>
        <v>0</v>
      </c>
      <c r="G312" s="58">
        <f t="shared" si="1422"/>
        <v>0</v>
      </c>
      <c r="H312" s="58">
        <f t="shared" si="1422"/>
        <v>0</v>
      </c>
      <c r="I312" s="60">
        <f t="shared" si="1276"/>
        <v>0</v>
      </c>
      <c r="J312" s="60">
        <f t="shared" si="1277"/>
        <v>0</v>
      </c>
      <c r="K312" s="58">
        <f t="shared" ref="K312:W312" si="1423">SUM(K313:K314)</f>
        <v>0</v>
      </c>
      <c r="L312" s="58">
        <f t="shared" si="1423"/>
        <v>18372.59</v>
      </c>
      <c r="M312" s="58">
        <f t="shared" si="1423"/>
        <v>0</v>
      </c>
      <c r="N312" s="58">
        <f t="shared" si="1423"/>
        <v>0</v>
      </c>
      <c r="O312" s="58">
        <f t="shared" si="1423"/>
        <v>0</v>
      </c>
      <c r="P312" s="58">
        <f t="shared" si="1423"/>
        <v>15884.02</v>
      </c>
      <c r="Q312" s="58">
        <f t="shared" si="1423"/>
        <v>0</v>
      </c>
      <c r="R312" s="58">
        <f t="shared" si="1423"/>
        <v>0</v>
      </c>
      <c r="S312" s="58">
        <f t="shared" si="1423"/>
        <v>15884.02</v>
      </c>
      <c r="T312" s="58">
        <f t="shared" si="1423"/>
        <v>0</v>
      </c>
      <c r="U312" s="58">
        <f t="shared" si="1423"/>
        <v>0</v>
      </c>
      <c r="V312" s="58">
        <f t="shared" si="1423"/>
        <v>2488.5700000000006</v>
      </c>
      <c r="W312" s="58">
        <f t="shared" si="1423"/>
        <v>0</v>
      </c>
      <c r="X312" s="63">
        <f t="shared" ref="X312:Y312" si="1424">IF(O312&gt;0,O312/K312,0)</f>
        <v>0</v>
      </c>
      <c r="Y312" s="63">
        <f t="shared" si="1424"/>
        <v>0.86454985388559802</v>
      </c>
      <c r="Z312" s="63">
        <f t="shared" si="1280"/>
        <v>0</v>
      </c>
      <c r="AA312" s="58">
        <f t="shared" ref="AA312:BW312" si="1425">SUM(AA313:AA314)</f>
        <v>0</v>
      </c>
      <c r="AB312" s="58">
        <f t="shared" si="1425"/>
        <v>3176.17</v>
      </c>
      <c r="AC312" s="58">
        <f t="shared" si="1425"/>
        <v>0</v>
      </c>
      <c r="AD312" s="58">
        <f t="shared" si="1425"/>
        <v>0</v>
      </c>
      <c r="AE312" s="58">
        <f t="shared" si="1425"/>
        <v>3176.17</v>
      </c>
      <c r="AF312" s="58">
        <f t="shared" si="1425"/>
        <v>0</v>
      </c>
      <c r="AG312" s="58">
        <f t="shared" si="1425"/>
        <v>0</v>
      </c>
      <c r="AH312" s="58">
        <f t="shared" si="1425"/>
        <v>3176.17</v>
      </c>
      <c r="AI312" s="58">
        <f t="shared" si="1425"/>
        <v>0</v>
      </c>
      <c r="AJ312" s="58">
        <f t="shared" si="1425"/>
        <v>0</v>
      </c>
      <c r="AK312" s="58">
        <f t="shared" si="1425"/>
        <v>3176.17</v>
      </c>
      <c r="AL312" s="58">
        <f t="shared" si="1425"/>
        <v>0</v>
      </c>
      <c r="AM312" s="58">
        <f t="shared" si="1425"/>
        <v>0</v>
      </c>
      <c r="AN312" s="58">
        <f t="shared" si="1425"/>
        <v>3070.3</v>
      </c>
      <c r="AO312" s="58">
        <f t="shared" si="1425"/>
        <v>0</v>
      </c>
      <c r="AP312" s="58">
        <f t="shared" si="1425"/>
        <v>0</v>
      </c>
      <c r="AQ312" s="58">
        <f t="shared" si="1425"/>
        <v>109.04</v>
      </c>
      <c r="AR312" s="58">
        <f t="shared" si="1425"/>
        <v>0</v>
      </c>
      <c r="AS312" s="58">
        <f t="shared" si="1425"/>
        <v>0</v>
      </c>
      <c r="AT312" s="58">
        <f t="shared" si="1425"/>
        <v>0</v>
      </c>
      <c r="AU312" s="58">
        <f t="shared" si="1425"/>
        <v>0</v>
      </c>
      <c r="AV312" s="58">
        <f t="shared" si="1425"/>
        <v>0</v>
      </c>
      <c r="AW312" s="58">
        <f t="shared" si="1425"/>
        <v>0</v>
      </c>
      <c r="AX312" s="58">
        <f t="shared" si="1425"/>
        <v>0</v>
      </c>
      <c r="AY312" s="58">
        <f t="shared" si="1425"/>
        <v>0</v>
      </c>
      <c r="AZ312" s="58">
        <f t="shared" si="1425"/>
        <v>0</v>
      </c>
      <c r="BA312" s="58">
        <f t="shared" si="1425"/>
        <v>0</v>
      </c>
      <c r="BB312" s="58">
        <f t="shared" si="1425"/>
        <v>0</v>
      </c>
      <c r="BC312" s="58">
        <f t="shared" si="1425"/>
        <v>0</v>
      </c>
      <c r="BD312" s="58">
        <f t="shared" si="1425"/>
        <v>0</v>
      </c>
      <c r="BE312" s="58">
        <f t="shared" si="1425"/>
        <v>0</v>
      </c>
      <c r="BF312" s="58">
        <f t="shared" si="1425"/>
        <v>0</v>
      </c>
      <c r="BG312" s="58">
        <f t="shared" si="1425"/>
        <v>0</v>
      </c>
      <c r="BH312" s="58">
        <f t="shared" si="1425"/>
        <v>0</v>
      </c>
      <c r="BI312" s="58">
        <f t="shared" si="1425"/>
        <v>0</v>
      </c>
      <c r="BJ312" s="58">
        <f t="shared" si="1425"/>
        <v>0</v>
      </c>
      <c r="BK312" s="58">
        <f t="shared" si="1425"/>
        <v>0</v>
      </c>
      <c r="BL312" s="58">
        <f t="shared" si="1425"/>
        <v>15884.02</v>
      </c>
      <c r="BM312" s="58">
        <f t="shared" si="1425"/>
        <v>0</v>
      </c>
      <c r="BN312" s="58">
        <f t="shared" si="1425"/>
        <v>0</v>
      </c>
      <c r="BO312" s="58">
        <f t="shared" si="1425"/>
        <v>0</v>
      </c>
      <c r="BP312" s="58">
        <f t="shared" si="1425"/>
        <v>0</v>
      </c>
      <c r="BQ312" s="58">
        <f t="shared" si="1425"/>
        <v>0</v>
      </c>
      <c r="BR312" s="58">
        <f t="shared" si="1425"/>
        <v>0</v>
      </c>
      <c r="BS312" s="58">
        <f t="shared" si="1425"/>
        <v>0</v>
      </c>
      <c r="BT312" s="58">
        <f t="shared" si="1425"/>
        <v>2488.5700000000006</v>
      </c>
      <c r="BU312" s="58">
        <f t="shared" si="1425"/>
        <v>0</v>
      </c>
      <c r="BV312" s="58">
        <f t="shared" si="1425"/>
        <v>0</v>
      </c>
      <c r="BW312" s="58">
        <f t="shared" si="1425"/>
        <v>2488.5700000000006</v>
      </c>
      <c r="BX312" s="1"/>
      <c r="BY312" s="1"/>
      <c r="BZ312" s="1"/>
      <c r="CA312" s="1"/>
      <c r="CB312" s="1"/>
      <c r="CC312" s="1"/>
      <c r="CD312" s="1"/>
      <c r="CE312" s="1"/>
      <c r="CF312" s="1"/>
      <c r="CG312" s="1"/>
    </row>
    <row r="313" spans="1:85" ht="15.75" customHeight="1">
      <c r="A313" s="134"/>
      <c r="B313" s="136" t="s">
        <v>613</v>
      </c>
      <c r="C313" s="86" t="s">
        <v>225</v>
      </c>
      <c r="D313" s="211" t="s">
        <v>614</v>
      </c>
      <c r="E313" s="127">
        <v>0</v>
      </c>
      <c r="F313" s="164"/>
      <c r="G313" s="71">
        <f t="shared" ref="G313:G314" si="1426">E313-F313</f>
        <v>0</v>
      </c>
      <c r="H313" s="70"/>
      <c r="I313" s="72">
        <f t="shared" si="1276"/>
        <v>0</v>
      </c>
      <c r="J313" s="72">
        <f t="shared" si="1277"/>
        <v>0</v>
      </c>
      <c r="K313" s="73"/>
      <c r="L313" s="82">
        <v>2027.95</v>
      </c>
      <c r="M313" s="81"/>
      <c r="N313" s="73"/>
      <c r="O313" s="77">
        <f t="shared" ref="O313:Q313" si="1427">AA313+AD313+AG313+AJ313+AM313+AP313+AS313+AV313+AY313+BB313+BE313+BH313</f>
        <v>0</v>
      </c>
      <c r="P313" s="77">
        <f t="shared" si="1427"/>
        <v>0</v>
      </c>
      <c r="Q313" s="77">
        <f t="shared" si="1427"/>
        <v>0</v>
      </c>
      <c r="R313" s="77">
        <f t="shared" ref="R313:T313" si="1428">IF(BK313=0,SUM(AA313+AD313+AG313+AJ313+AM313+AP313+AS313+AV313+AY313+BB313+BE313+BH313),BK313)</f>
        <v>0</v>
      </c>
      <c r="S313" s="77">
        <f t="shared" si="1428"/>
        <v>0</v>
      </c>
      <c r="T313" s="77">
        <f t="shared" si="1428"/>
        <v>0</v>
      </c>
      <c r="U313" s="79">
        <f t="shared" ref="U313:U314" si="1429">K313-O313</f>
        <v>0</v>
      </c>
      <c r="V313" s="79">
        <f t="shared" ref="V313:V314" si="1430">L313-M313-S313</f>
        <v>2027.95</v>
      </c>
      <c r="W313" s="78">
        <f t="shared" ref="W313:W314" si="1431">N313-Q313</f>
        <v>0</v>
      </c>
      <c r="X313" s="80">
        <f t="shared" ref="X313:Y313" si="1432">IF(O313&gt;0,O313/K313,0)</f>
        <v>0</v>
      </c>
      <c r="Y313" s="80">
        <f t="shared" si="1432"/>
        <v>0</v>
      </c>
      <c r="Z313" s="80">
        <f t="shared" si="1280"/>
        <v>0</v>
      </c>
      <c r="AA313" s="81"/>
      <c r="AB313" s="82"/>
      <c r="AC313" s="81"/>
      <c r="AD313" s="81"/>
      <c r="AE313" s="128"/>
      <c r="AF313" s="83"/>
      <c r="AG313" s="83"/>
      <c r="AH313" s="82"/>
      <c r="AI313" s="82"/>
      <c r="AJ313" s="81"/>
      <c r="AK313" s="82"/>
      <c r="AL313" s="81"/>
      <c r="AM313" s="81"/>
      <c r="AN313" s="82"/>
      <c r="AO313" s="81"/>
      <c r="AP313" s="81"/>
      <c r="AQ313" s="82"/>
      <c r="AR313" s="81"/>
      <c r="AS313" s="81"/>
      <c r="AT313" s="81"/>
      <c r="AU313" s="81"/>
      <c r="AV313" s="81"/>
      <c r="AW313" s="81"/>
      <c r="AX313" s="81"/>
      <c r="AY313" s="81"/>
      <c r="AZ313" s="81"/>
      <c r="BA313" s="81"/>
      <c r="BB313" s="81"/>
      <c r="BC313" s="81"/>
      <c r="BD313" s="81"/>
      <c r="BE313" s="81"/>
      <c r="BF313" s="81"/>
      <c r="BG313" s="81"/>
      <c r="BH313" s="81"/>
      <c r="BI313" s="81"/>
      <c r="BJ313" s="81"/>
      <c r="BK313" s="82">
        <v>0</v>
      </c>
      <c r="BL313" s="82">
        <v>0</v>
      </c>
      <c r="BM313" s="82">
        <v>0</v>
      </c>
      <c r="BN313" s="81">
        <f t="shared" ref="BN313:BN314" si="1433">IF(O313-BK313&gt;0,O313-BK313,0)</f>
        <v>0</v>
      </c>
      <c r="BO313" s="75">
        <f t="shared" ref="BO313:BO314" si="1434">IF(Q313-BM313&gt;0,Q313-BM313,0)</f>
        <v>0</v>
      </c>
      <c r="BP313" s="81">
        <f t="shared" ref="BP313:BP314" si="1435">IF(BN313+BO313&gt;0,BN313+BO313,0)</f>
        <v>0</v>
      </c>
      <c r="BQ313" s="81">
        <f t="shared" ref="BQ313:BQ314" si="1436">IF(U313=0,0,U313)</f>
        <v>0</v>
      </c>
      <c r="BR313" s="81">
        <f t="shared" ref="BR313:BR314" si="1437">IF(W313=0,0,W313)</f>
        <v>0</v>
      </c>
      <c r="BS313" s="81">
        <f t="shared" ref="BS313:BS314" si="1438">IF(BQ313+BR313&gt;0,BQ313+BR313,0)</f>
        <v>0</v>
      </c>
      <c r="BT313" s="133">
        <f t="shared" ref="BT313:BT314" si="1439">IF(V313&gt;0,V313,0)</f>
        <v>2027.95</v>
      </c>
      <c r="BU313" s="81">
        <f t="shared" ref="BU313:BU314" si="1440">IF(BP313=0,0,BP313)</f>
        <v>0</v>
      </c>
      <c r="BV313" s="81">
        <f t="shared" ref="BV313:BV314" si="1441">IF(BS313=0,0,BS313)</f>
        <v>0</v>
      </c>
      <c r="BW313" s="81">
        <f t="shared" ref="BW313:BW314" si="1442">IF(BP313+BT313+BV313&gt;0,BP313+BT313+BV313,0)</f>
        <v>2027.95</v>
      </c>
      <c r="BX313" s="1"/>
      <c r="BY313" s="1"/>
      <c r="BZ313" s="1"/>
      <c r="CA313" s="1"/>
      <c r="CB313" s="1"/>
      <c r="CC313" s="1"/>
      <c r="CD313" s="1"/>
      <c r="CE313" s="1"/>
      <c r="CF313" s="1"/>
      <c r="CG313" s="1"/>
    </row>
    <row r="314" spans="1:85" ht="15.75" customHeight="1">
      <c r="A314" s="134"/>
      <c r="B314" s="132" t="s">
        <v>615</v>
      </c>
      <c r="C314" s="86" t="s">
        <v>225</v>
      </c>
      <c r="D314" s="211" t="s">
        <v>616</v>
      </c>
      <c r="E314" s="127">
        <v>0</v>
      </c>
      <c r="F314" s="164"/>
      <c r="G314" s="71">
        <f t="shared" si="1426"/>
        <v>0</v>
      </c>
      <c r="H314" s="70"/>
      <c r="I314" s="72">
        <f t="shared" si="1276"/>
        <v>0</v>
      </c>
      <c r="J314" s="72">
        <f t="shared" si="1277"/>
        <v>0</v>
      </c>
      <c r="K314" s="73"/>
      <c r="L314" s="81">
        <f>15884.02+460.62</f>
        <v>16344.640000000001</v>
      </c>
      <c r="M314" s="81"/>
      <c r="N314" s="73"/>
      <c r="O314" s="77">
        <f t="shared" ref="O314:Q314" si="1443">AA314+AD314+AG314+AJ314+AM314+AP314+AS314+AV314+AY314+BB314+BE314+BH314</f>
        <v>0</v>
      </c>
      <c r="P314" s="77">
        <f t="shared" si="1443"/>
        <v>15884.02</v>
      </c>
      <c r="Q314" s="77">
        <f t="shared" si="1443"/>
        <v>0</v>
      </c>
      <c r="R314" s="77">
        <f t="shared" ref="R314:T314" si="1444">IF(BK314=0,SUM(AA314+AD314+AG314+AJ314+AM314+AP314+AS314+AV314+AY314+BB314+BE314+BH314),BK314)</f>
        <v>0</v>
      </c>
      <c r="S314" s="77">
        <f t="shared" si="1444"/>
        <v>15884.02</v>
      </c>
      <c r="T314" s="77">
        <f t="shared" si="1444"/>
        <v>0</v>
      </c>
      <c r="U314" s="79">
        <f t="shared" si="1429"/>
        <v>0</v>
      </c>
      <c r="V314" s="79">
        <f t="shared" si="1430"/>
        <v>460.6200000000008</v>
      </c>
      <c r="W314" s="78">
        <f t="shared" si="1431"/>
        <v>0</v>
      </c>
      <c r="X314" s="80">
        <f t="shared" ref="X314:Y314" si="1445">IF(O314&gt;0,O314/K314,0)</f>
        <v>0</v>
      </c>
      <c r="Y314" s="80">
        <f t="shared" si="1445"/>
        <v>0.97181828415921057</v>
      </c>
      <c r="Z314" s="80">
        <f t="shared" si="1280"/>
        <v>0</v>
      </c>
      <c r="AA314" s="81"/>
      <c r="AB314" s="82">
        <v>3176.17</v>
      </c>
      <c r="AC314" s="81"/>
      <c r="AD314" s="81"/>
      <c r="AE314" s="128">
        <v>3176.17</v>
      </c>
      <c r="AF314" s="83"/>
      <c r="AG314" s="83"/>
      <c r="AH314" s="82">
        <v>3176.17</v>
      </c>
      <c r="AI314" s="82"/>
      <c r="AJ314" s="81"/>
      <c r="AK314" s="82">
        <v>3176.17</v>
      </c>
      <c r="AL314" s="81"/>
      <c r="AM314" s="81"/>
      <c r="AN314" s="82">
        <v>3070.3</v>
      </c>
      <c r="AO314" s="81"/>
      <c r="AP314" s="81"/>
      <c r="AQ314" s="82">
        <v>109.04</v>
      </c>
      <c r="AR314" s="81"/>
      <c r="AS314" s="81"/>
      <c r="AT314" s="81"/>
      <c r="AU314" s="81"/>
      <c r="AV314" s="81"/>
      <c r="AW314" s="81"/>
      <c r="AX314" s="81"/>
      <c r="AY314" s="81"/>
      <c r="AZ314" s="81"/>
      <c r="BA314" s="81"/>
      <c r="BB314" s="81"/>
      <c r="BC314" s="81"/>
      <c r="BD314" s="81"/>
      <c r="BE314" s="81"/>
      <c r="BF314" s="81"/>
      <c r="BG314" s="81"/>
      <c r="BH314" s="81"/>
      <c r="BI314" s="81"/>
      <c r="BJ314" s="81"/>
      <c r="BK314" s="82">
        <v>0</v>
      </c>
      <c r="BL314" s="82">
        <v>15884.02</v>
      </c>
      <c r="BM314" s="82">
        <v>0</v>
      </c>
      <c r="BN314" s="81">
        <f t="shared" si="1433"/>
        <v>0</v>
      </c>
      <c r="BO314" s="75">
        <f t="shared" si="1434"/>
        <v>0</v>
      </c>
      <c r="BP314" s="81">
        <f t="shared" si="1435"/>
        <v>0</v>
      </c>
      <c r="BQ314" s="81">
        <f t="shared" si="1436"/>
        <v>0</v>
      </c>
      <c r="BR314" s="81">
        <f t="shared" si="1437"/>
        <v>0</v>
      </c>
      <c r="BS314" s="81">
        <f t="shared" si="1438"/>
        <v>0</v>
      </c>
      <c r="BT314" s="133">
        <f t="shared" si="1439"/>
        <v>460.6200000000008</v>
      </c>
      <c r="BU314" s="81">
        <f t="shared" si="1440"/>
        <v>0</v>
      </c>
      <c r="BV314" s="81">
        <f t="shared" si="1441"/>
        <v>0</v>
      </c>
      <c r="BW314" s="81">
        <f t="shared" si="1442"/>
        <v>460.6200000000008</v>
      </c>
      <c r="BX314" s="1"/>
      <c r="BY314" s="1"/>
      <c r="BZ314" s="1"/>
      <c r="CA314" s="1"/>
      <c r="CB314" s="1"/>
      <c r="CC314" s="1"/>
      <c r="CD314" s="1"/>
      <c r="CE314" s="1"/>
      <c r="CF314" s="1"/>
      <c r="CG314" s="1"/>
    </row>
    <row r="315" spans="1:85" ht="15.75">
      <c r="A315" s="109"/>
      <c r="B315" s="110"/>
      <c r="C315" s="111"/>
      <c r="D315" s="112" t="s">
        <v>251</v>
      </c>
      <c r="E315" s="58">
        <f t="shared" ref="E315:H315" si="1446">SUM(E316:E322)</f>
        <v>71600</v>
      </c>
      <c r="F315" s="58">
        <f t="shared" si="1446"/>
        <v>0</v>
      </c>
      <c r="G315" s="58">
        <f t="shared" si="1446"/>
        <v>71600</v>
      </c>
      <c r="H315" s="58">
        <f t="shared" si="1446"/>
        <v>0</v>
      </c>
      <c r="I315" s="60">
        <f t="shared" si="1276"/>
        <v>1.0130614525139665</v>
      </c>
      <c r="J315" s="60">
        <f t="shared" si="1277"/>
        <v>1.0130614525139665</v>
      </c>
      <c r="K315" s="58">
        <f t="shared" ref="K315:W315" si="1447">SUM(K316:K322)</f>
        <v>72535.199999999997</v>
      </c>
      <c r="L315" s="58">
        <f t="shared" si="1447"/>
        <v>88319.920000000013</v>
      </c>
      <c r="M315" s="58">
        <f t="shared" si="1447"/>
        <v>0</v>
      </c>
      <c r="N315" s="58">
        <f t="shared" si="1447"/>
        <v>0</v>
      </c>
      <c r="O315" s="58">
        <f t="shared" si="1447"/>
        <v>72535.199999999997</v>
      </c>
      <c r="P315" s="58">
        <f t="shared" si="1447"/>
        <v>24600</v>
      </c>
      <c r="Q315" s="58">
        <f t="shared" si="1447"/>
        <v>0</v>
      </c>
      <c r="R315" s="58">
        <f t="shared" si="1447"/>
        <v>72535.199999999997</v>
      </c>
      <c r="S315" s="58">
        <f t="shared" si="1447"/>
        <v>24600</v>
      </c>
      <c r="T315" s="58">
        <f t="shared" si="1447"/>
        <v>0</v>
      </c>
      <c r="U315" s="58">
        <f t="shared" si="1447"/>
        <v>0</v>
      </c>
      <c r="V315" s="58">
        <f t="shared" si="1447"/>
        <v>63719.920000000006</v>
      </c>
      <c r="W315" s="58">
        <f t="shared" si="1447"/>
        <v>0</v>
      </c>
      <c r="X315" s="63">
        <f t="shared" ref="X315:Y315" si="1448">IF(O315&gt;0,O315/K315,0)</f>
        <v>1</v>
      </c>
      <c r="Y315" s="63">
        <f t="shared" si="1448"/>
        <v>0.27853286098991026</v>
      </c>
      <c r="Z315" s="63">
        <f t="shared" si="1280"/>
        <v>0</v>
      </c>
      <c r="AA315" s="58">
        <f t="shared" ref="AA315:BW315" si="1449">SUM(AA316:AA322)</f>
        <v>0</v>
      </c>
      <c r="AB315" s="58">
        <f t="shared" si="1449"/>
        <v>0</v>
      </c>
      <c r="AC315" s="58">
        <f t="shared" si="1449"/>
        <v>0</v>
      </c>
      <c r="AD315" s="58">
        <f t="shared" si="1449"/>
        <v>0</v>
      </c>
      <c r="AE315" s="58">
        <f t="shared" si="1449"/>
        <v>0</v>
      </c>
      <c r="AF315" s="58">
        <f t="shared" si="1449"/>
        <v>0</v>
      </c>
      <c r="AG315" s="58">
        <f t="shared" si="1449"/>
        <v>0</v>
      </c>
      <c r="AH315" s="58">
        <f t="shared" si="1449"/>
        <v>0</v>
      </c>
      <c r="AI315" s="58">
        <f t="shared" si="1449"/>
        <v>0</v>
      </c>
      <c r="AJ315" s="58">
        <f t="shared" si="1449"/>
        <v>0</v>
      </c>
      <c r="AK315" s="58">
        <f t="shared" si="1449"/>
        <v>0</v>
      </c>
      <c r="AL315" s="58">
        <f t="shared" si="1449"/>
        <v>0</v>
      </c>
      <c r="AM315" s="58">
        <f t="shared" si="1449"/>
        <v>0</v>
      </c>
      <c r="AN315" s="58">
        <f t="shared" si="1449"/>
        <v>0</v>
      </c>
      <c r="AO315" s="58">
        <f t="shared" si="1449"/>
        <v>0</v>
      </c>
      <c r="AP315" s="58">
        <f t="shared" si="1449"/>
        <v>15982.6</v>
      </c>
      <c r="AQ315" s="58">
        <f t="shared" si="1449"/>
        <v>0</v>
      </c>
      <c r="AR315" s="58">
        <f t="shared" si="1449"/>
        <v>0</v>
      </c>
      <c r="AS315" s="58">
        <f t="shared" si="1449"/>
        <v>4357.3999999999996</v>
      </c>
      <c r="AT315" s="58">
        <f t="shared" si="1449"/>
        <v>0</v>
      </c>
      <c r="AU315" s="58">
        <f t="shared" si="1449"/>
        <v>0</v>
      </c>
      <c r="AV315" s="58">
        <f t="shared" si="1449"/>
        <v>10518</v>
      </c>
      <c r="AW315" s="58">
        <f t="shared" si="1449"/>
        <v>0</v>
      </c>
      <c r="AX315" s="58">
        <f t="shared" si="1449"/>
        <v>0</v>
      </c>
      <c r="AY315" s="58">
        <f t="shared" si="1449"/>
        <v>11787.6</v>
      </c>
      <c r="AZ315" s="58">
        <f t="shared" si="1449"/>
        <v>0</v>
      </c>
      <c r="BA315" s="58">
        <f t="shared" si="1449"/>
        <v>0</v>
      </c>
      <c r="BB315" s="58">
        <f t="shared" si="1449"/>
        <v>29889.599999999999</v>
      </c>
      <c r="BC315" s="58">
        <f t="shared" si="1449"/>
        <v>0</v>
      </c>
      <c r="BD315" s="58">
        <f t="shared" si="1449"/>
        <v>0</v>
      </c>
      <c r="BE315" s="58">
        <f t="shared" si="1449"/>
        <v>0</v>
      </c>
      <c r="BF315" s="58">
        <f t="shared" si="1449"/>
        <v>0</v>
      </c>
      <c r="BG315" s="58">
        <f t="shared" si="1449"/>
        <v>0</v>
      </c>
      <c r="BH315" s="58">
        <f t="shared" si="1449"/>
        <v>0</v>
      </c>
      <c r="BI315" s="58">
        <f t="shared" si="1449"/>
        <v>24600</v>
      </c>
      <c r="BJ315" s="58">
        <f t="shared" si="1449"/>
        <v>0</v>
      </c>
      <c r="BK315" s="58">
        <f t="shared" si="1449"/>
        <v>72535.199999999997</v>
      </c>
      <c r="BL315" s="58">
        <f t="shared" si="1449"/>
        <v>24600</v>
      </c>
      <c r="BM315" s="58">
        <f t="shared" si="1449"/>
        <v>0</v>
      </c>
      <c r="BN315" s="58">
        <f t="shared" si="1449"/>
        <v>0</v>
      </c>
      <c r="BO315" s="58">
        <f t="shared" si="1449"/>
        <v>0</v>
      </c>
      <c r="BP315" s="58">
        <f t="shared" si="1449"/>
        <v>0</v>
      </c>
      <c r="BQ315" s="58">
        <f t="shared" si="1449"/>
        <v>0</v>
      </c>
      <c r="BR315" s="58">
        <f t="shared" si="1449"/>
        <v>0</v>
      </c>
      <c r="BS315" s="58">
        <f t="shared" si="1449"/>
        <v>0</v>
      </c>
      <c r="BT315" s="58">
        <f t="shared" si="1449"/>
        <v>63719.920000000006</v>
      </c>
      <c r="BU315" s="58">
        <f t="shared" si="1449"/>
        <v>0</v>
      </c>
      <c r="BV315" s="58">
        <f t="shared" si="1449"/>
        <v>0</v>
      </c>
      <c r="BW315" s="58">
        <f t="shared" si="1449"/>
        <v>63719.920000000006</v>
      </c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</row>
    <row r="316" spans="1:85" ht="15.75" customHeight="1">
      <c r="A316" s="145"/>
      <c r="B316" s="146" t="s">
        <v>617</v>
      </c>
      <c r="C316" s="86" t="s">
        <v>256</v>
      </c>
      <c r="D316" s="87" t="s">
        <v>618</v>
      </c>
      <c r="E316" s="70">
        <v>0</v>
      </c>
      <c r="F316" s="71"/>
      <c r="G316" s="71">
        <f t="shared" ref="G316:G322" si="1450">E316-F316</f>
        <v>0</v>
      </c>
      <c r="H316" s="70"/>
      <c r="I316" s="72">
        <f t="shared" si="1276"/>
        <v>0</v>
      </c>
      <c r="J316" s="72">
        <f t="shared" si="1277"/>
        <v>0</v>
      </c>
      <c r="K316" s="88"/>
      <c r="L316" s="81">
        <v>80063.320000000007</v>
      </c>
      <c r="M316" s="81"/>
      <c r="N316" s="88"/>
      <c r="O316" s="77">
        <f t="shared" ref="O316:Q316" si="1451">AA316+AD316+AG316+AJ316+AM316+AP316+AS316+AV316+AY316+BB316+BE316+BH316</f>
        <v>0</v>
      </c>
      <c r="P316" s="77">
        <f t="shared" si="1451"/>
        <v>24600</v>
      </c>
      <c r="Q316" s="77">
        <f t="shared" si="1451"/>
        <v>0</v>
      </c>
      <c r="R316" s="77">
        <f t="shared" ref="R316:T316" si="1452">IF(BK316=0,SUM(AA316+AD316+AG316+AJ316+AM316+AP316+AS316+AV316+AY316+BB316+BE316+BH316),BK316)</f>
        <v>0</v>
      </c>
      <c r="S316" s="77">
        <f t="shared" si="1452"/>
        <v>24600</v>
      </c>
      <c r="T316" s="77">
        <f t="shared" si="1452"/>
        <v>0</v>
      </c>
      <c r="U316" s="79">
        <f t="shared" ref="U316:U322" si="1453">K316-O316</f>
        <v>0</v>
      </c>
      <c r="V316" s="79">
        <f t="shared" ref="V316:V322" si="1454">L316-M316-S316</f>
        <v>55463.320000000007</v>
      </c>
      <c r="W316" s="79">
        <f t="shared" ref="W316:W322" si="1455">N316-Q316</f>
        <v>0</v>
      </c>
      <c r="X316" s="80">
        <f t="shared" ref="X316:Y316" si="1456">IF(O316&gt;0,O316/K316,0)</f>
        <v>0</v>
      </c>
      <c r="Y316" s="80">
        <f t="shared" si="1456"/>
        <v>0.30725680623786272</v>
      </c>
      <c r="Z316" s="80">
        <f t="shared" si="1280"/>
        <v>0</v>
      </c>
      <c r="AA316" s="81"/>
      <c r="AB316" s="81"/>
      <c r="AC316" s="81"/>
      <c r="AD316" s="81"/>
      <c r="AE316" s="83"/>
      <c r="AF316" s="83"/>
      <c r="AG316" s="83"/>
      <c r="AH316" s="83"/>
      <c r="AI316" s="81"/>
      <c r="AJ316" s="81"/>
      <c r="AK316" s="81"/>
      <c r="AL316" s="81"/>
      <c r="AM316" s="81"/>
      <c r="AN316" s="81"/>
      <c r="AO316" s="81"/>
      <c r="AP316" s="81"/>
      <c r="AQ316" s="81"/>
      <c r="AR316" s="81"/>
      <c r="AS316" s="81"/>
      <c r="AT316" s="81"/>
      <c r="AU316" s="81"/>
      <c r="AV316" s="81"/>
      <c r="AW316" s="81"/>
      <c r="AX316" s="81"/>
      <c r="AY316" s="81"/>
      <c r="AZ316" s="81"/>
      <c r="BA316" s="81"/>
      <c r="BB316" s="81"/>
      <c r="BC316" s="81"/>
      <c r="BD316" s="81"/>
      <c r="BE316" s="81"/>
      <c r="BF316" s="81"/>
      <c r="BG316" s="81"/>
      <c r="BH316" s="81"/>
      <c r="BI316" s="82">
        <f>24600</f>
        <v>24600</v>
      </c>
      <c r="BJ316" s="81"/>
      <c r="BK316" s="82">
        <v>0</v>
      </c>
      <c r="BL316" s="82">
        <v>24600</v>
      </c>
      <c r="BM316" s="82">
        <v>0</v>
      </c>
      <c r="BN316" s="81">
        <f t="shared" ref="BN316:BN322" si="1457">IF(O316-BK316&gt;0,O316-BK316,0)</f>
        <v>0</v>
      </c>
      <c r="BO316" s="75">
        <f t="shared" ref="BO316:BO322" si="1458">IF(Q316-BM316&gt;0,Q316-BM316,0)</f>
        <v>0</v>
      </c>
      <c r="BP316" s="81">
        <f t="shared" ref="BP316:BP322" si="1459">IF(BN316+BO316&gt;0,BN316+BO316,0)</f>
        <v>0</v>
      </c>
      <c r="BQ316" s="81">
        <f t="shared" ref="BQ316:BQ322" si="1460">IF(U316=0,0,U316)</f>
        <v>0</v>
      </c>
      <c r="BR316" s="81">
        <f t="shared" ref="BR316:BR322" si="1461">IF(W316=0,0,W316)</f>
        <v>0</v>
      </c>
      <c r="BS316" s="81">
        <f t="shared" ref="BS316:BS322" si="1462">IF(BQ316+BR316&gt;0,BQ316+BR316,0)</f>
        <v>0</v>
      </c>
      <c r="BT316" s="133">
        <f t="shared" ref="BT316:BT322" si="1463">IF(V316&gt;0,V316,0)</f>
        <v>55463.320000000007</v>
      </c>
      <c r="BU316" s="81">
        <f t="shared" ref="BU316:BU322" si="1464">IF(BP316=0,0,BP316)</f>
        <v>0</v>
      </c>
      <c r="BV316" s="81">
        <f t="shared" ref="BV316:BV322" si="1465">IF(BS316=0,0,BS316)</f>
        <v>0</v>
      </c>
      <c r="BW316" s="81">
        <f t="shared" ref="BW316:BW322" si="1466">IF(BP316+BT316+BV316&gt;0,BP316+BT316+BV316,0)</f>
        <v>55463.320000000007</v>
      </c>
      <c r="BX316" s="1"/>
      <c r="BY316" s="1"/>
      <c r="BZ316" s="1"/>
      <c r="CA316" s="1"/>
      <c r="CB316" s="1"/>
      <c r="CC316" s="1"/>
      <c r="CD316" s="1"/>
      <c r="CE316" s="1"/>
      <c r="CF316" s="1"/>
      <c r="CG316" s="1"/>
    </row>
    <row r="317" spans="1:85" ht="15.75" customHeight="1">
      <c r="A317" s="145"/>
      <c r="B317" s="132" t="s">
        <v>619</v>
      </c>
      <c r="C317" s="86" t="s">
        <v>256</v>
      </c>
      <c r="D317" s="87" t="s">
        <v>618</v>
      </c>
      <c r="E317" s="70"/>
      <c r="F317" s="71"/>
      <c r="G317" s="71">
        <f t="shared" si="1450"/>
        <v>0</v>
      </c>
      <c r="H317" s="70"/>
      <c r="I317" s="72">
        <f t="shared" si="1276"/>
        <v>0</v>
      </c>
      <c r="J317" s="72">
        <f t="shared" si="1277"/>
        <v>0</v>
      </c>
      <c r="K317" s="88"/>
      <c r="L317" s="81">
        <v>8256.6</v>
      </c>
      <c r="M317" s="81"/>
      <c r="N317" s="88"/>
      <c r="O317" s="77">
        <f t="shared" ref="O317:Q317" si="1467">AA317+AD317+AG317+AJ317+AM317+AP317+AS317+AV317+AY317+BB317+BE317+BH317</f>
        <v>0</v>
      </c>
      <c r="P317" s="77">
        <f t="shared" si="1467"/>
        <v>0</v>
      </c>
      <c r="Q317" s="77">
        <f t="shared" si="1467"/>
        <v>0</v>
      </c>
      <c r="R317" s="77">
        <f t="shared" ref="R317:T317" si="1468">IF(BK317=0,SUM(AA317+AD317+AG317+AJ317+AM317+AP317+AS317+AV317+AY317+BB317+BE317+BH317),BK317)</f>
        <v>0</v>
      </c>
      <c r="S317" s="77">
        <f t="shared" si="1468"/>
        <v>0</v>
      </c>
      <c r="T317" s="77">
        <f t="shared" si="1468"/>
        <v>0</v>
      </c>
      <c r="U317" s="79">
        <f t="shared" si="1453"/>
        <v>0</v>
      </c>
      <c r="V317" s="79">
        <f t="shared" si="1454"/>
        <v>8256.6</v>
      </c>
      <c r="W317" s="79">
        <f t="shared" si="1455"/>
        <v>0</v>
      </c>
      <c r="X317" s="80">
        <f t="shared" ref="X317:Y317" si="1469">IF(O317&gt;0,O317/K317,0)</f>
        <v>0</v>
      </c>
      <c r="Y317" s="80">
        <f t="shared" si="1469"/>
        <v>0</v>
      </c>
      <c r="Z317" s="80">
        <f t="shared" si="1280"/>
        <v>0</v>
      </c>
      <c r="AA317" s="81"/>
      <c r="AB317" s="81"/>
      <c r="AC317" s="81"/>
      <c r="AD317" s="81"/>
      <c r="AE317" s="83"/>
      <c r="AF317" s="83"/>
      <c r="AG317" s="83"/>
      <c r="AH317" s="83"/>
      <c r="AI317" s="81"/>
      <c r="AJ317" s="81"/>
      <c r="AK317" s="81"/>
      <c r="AL317" s="81"/>
      <c r="AM317" s="81"/>
      <c r="AN317" s="81"/>
      <c r="AO317" s="81"/>
      <c r="AP317" s="81"/>
      <c r="AQ317" s="81"/>
      <c r="AR317" s="81"/>
      <c r="AS317" s="81"/>
      <c r="AT317" s="81"/>
      <c r="AU317" s="81"/>
      <c r="AV317" s="81"/>
      <c r="AW317" s="81"/>
      <c r="AX317" s="81"/>
      <c r="AY317" s="81"/>
      <c r="AZ317" s="81"/>
      <c r="BA317" s="81"/>
      <c r="BB317" s="81"/>
      <c r="BC317" s="81"/>
      <c r="BD317" s="81"/>
      <c r="BE317" s="81"/>
      <c r="BF317" s="81"/>
      <c r="BG317" s="81"/>
      <c r="BH317" s="81"/>
      <c r="BI317" s="81"/>
      <c r="BJ317" s="81"/>
      <c r="BK317" s="82">
        <v>0</v>
      </c>
      <c r="BL317" s="82">
        <v>0</v>
      </c>
      <c r="BM317" s="82">
        <v>0</v>
      </c>
      <c r="BN317" s="81">
        <f t="shared" si="1457"/>
        <v>0</v>
      </c>
      <c r="BO317" s="75">
        <f t="shared" si="1458"/>
        <v>0</v>
      </c>
      <c r="BP317" s="81">
        <f t="shared" si="1459"/>
        <v>0</v>
      </c>
      <c r="BQ317" s="81">
        <f t="shared" si="1460"/>
        <v>0</v>
      </c>
      <c r="BR317" s="81">
        <f t="shared" si="1461"/>
        <v>0</v>
      </c>
      <c r="BS317" s="81">
        <f t="shared" si="1462"/>
        <v>0</v>
      </c>
      <c r="BT317" s="133">
        <f t="shared" si="1463"/>
        <v>8256.6</v>
      </c>
      <c r="BU317" s="81">
        <f t="shared" si="1464"/>
        <v>0</v>
      </c>
      <c r="BV317" s="81">
        <f t="shared" si="1465"/>
        <v>0</v>
      </c>
      <c r="BW317" s="81">
        <f t="shared" si="1466"/>
        <v>8256.6</v>
      </c>
      <c r="BX317" s="1"/>
      <c r="BY317" s="1"/>
      <c r="BZ317" s="1"/>
      <c r="CA317" s="1"/>
      <c r="CB317" s="1"/>
      <c r="CC317" s="1"/>
      <c r="CD317" s="1"/>
      <c r="CE317" s="1"/>
      <c r="CF317" s="1"/>
      <c r="CG317" s="1"/>
    </row>
    <row r="318" spans="1:85" ht="15.75" customHeight="1">
      <c r="A318" s="113"/>
      <c r="B318" s="115"/>
      <c r="C318" s="86" t="s">
        <v>270</v>
      </c>
      <c r="D318" s="87" t="s">
        <v>620</v>
      </c>
      <c r="E318" s="70">
        <v>12000</v>
      </c>
      <c r="F318" s="71"/>
      <c r="G318" s="71">
        <f t="shared" si="1450"/>
        <v>12000</v>
      </c>
      <c r="H318" s="70"/>
      <c r="I318" s="72">
        <f t="shared" si="1276"/>
        <v>0</v>
      </c>
      <c r="J318" s="72">
        <f t="shared" si="1277"/>
        <v>0</v>
      </c>
      <c r="K318" s="88"/>
      <c r="L318" s="81"/>
      <c r="M318" s="81"/>
      <c r="N318" s="88"/>
      <c r="O318" s="77">
        <f t="shared" ref="O318:Q318" si="1470">AA318+AD318+AG318+AJ318+AM318+AP318+AS318+AV318+AY318+BB318+BE318+BH318</f>
        <v>0</v>
      </c>
      <c r="P318" s="77">
        <f t="shared" si="1470"/>
        <v>0</v>
      </c>
      <c r="Q318" s="77">
        <f t="shared" si="1470"/>
        <v>0</v>
      </c>
      <c r="R318" s="77">
        <f t="shared" ref="R318:T318" si="1471">IF(BK318=0,SUM(AA318+AD318+AG318+AJ318+AM318+AP318+AS318+AV318+AY318+BB318+BE318+BH318),BK318)</f>
        <v>0</v>
      </c>
      <c r="S318" s="77">
        <f t="shared" si="1471"/>
        <v>0</v>
      </c>
      <c r="T318" s="77">
        <f t="shared" si="1471"/>
        <v>0</v>
      </c>
      <c r="U318" s="79">
        <f t="shared" si="1453"/>
        <v>0</v>
      </c>
      <c r="V318" s="79">
        <f t="shared" si="1454"/>
        <v>0</v>
      </c>
      <c r="W318" s="79">
        <f t="shared" si="1455"/>
        <v>0</v>
      </c>
      <c r="X318" s="80">
        <f t="shared" ref="X318:Y318" si="1472">IF(O318&gt;0,O318/K318,0)</f>
        <v>0</v>
      </c>
      <c r="Y318" s="80">
        <f t="shared" si="1472"/>
        <v>0</v>
      </c>
      <c r="Z318" s="80">
        <f t="shared" si="1280"/>
        <v>0</v>
      </c>
      <c r="AA318" s="81"/>
      <c r="AB318" s="81"/>
      <c r="AC318" s="81"/>
      <c r="AD318" s="81"/>
      <c r="AE318" s="83"/>
      <c r="AF318" s="83"/>
      <c r="AG318" s="83"/>
      <c r="AH318" s="83"/>
      <c r="AI318" s="81"/>
      <c r="AJ318" s="81"/>
      <c r="AK318" s="81"/>
      <c r="AL318" s="81"/>
      <c r="AM318" s="81"/>
      <c r="AN318" s="81"/>
      <c r="AO318" s="81"/>
      <c r="AP318" s="81"/>
      <c r="AQ318" s="81"/>
      <c r="AR318" s="81"/>
      <c r="AS318" s="81"/>
      <c r="AT318" s="81"/>
      <c r="AU318" s="81"/>
      <c r="AV318" s="81"/>
      <c r="AW318" s="81"/>
      <c r="AX318" s="81"/>
      <c r="AY318" s="81"/>
      <c r="AZ318" s="81"/>
      <c r="BA318" s="81"/>
      <c r="BB318" s="81"/>
      <c r="BC318" s="81"/>
      <c r="BD318" s="81"/>
      <c r="BE318" s="81"/>
      <c r="BF318" s="81"/>
      <c r="BG318" s="81"/>
      <c r="BH318" s="81"/>
      <c r="BI318" s="81"/>
      <c r="BJ318" s="81"/>
      <c r="BK318" s="82">
        <v>0</v>
      </c>
      <c r="BL318" s="82">
        <v>0</v>
      </c>
      <c r="BM318" s="82">
        <v>0</v>
      </c>
      <c r="BN318" s="81">
        <f t="shared" si="1457"/>
        <v>0</v>
      </c>
      <c r="BO318" s="75">
        <f t="shared" si="1458"/>
        <v>0</v>
      </c>
      <c r="BP318" s="81">
        <f t="shared" si="1459"/>
        <v>0</v>
      </c>
      <c r="BQ318" s="81">
        <f t="shared" si="1460"/>
        <v>0</v>
      </c>
      <c r="BR318" s="81">
        <f t="shared" si="1461"/>
        <v>0</v>
      </c>
      <c r="BS318" s="81">
        <f t="shared" si="1462"/>
        <v>0</v>
      </c>
      <c r="BT318" s="81">
        <f t="shared" si="1463"/>
        <v>0</v>
      </c>
      <c r="BU318" s="81">
        <f t="shared" si="1464"/>
        <v>0</v>
      </c>
      <c r="BV318" s="81">
        <f t="shared" si="1465"/>
        <v>0</v>
      </c>
      <c r="BW318" s="81">
        <f t="shared" si="1466"/>
        <v>0</v>
      </c>
      <c r="BX318" s="1"/>
      <c r="BY318" s="1"/>
      <c r="BZ318" s="1"/>
      <c r="CA318" s="1"/>
      <c r="CB318" s="1"/>
      <c r="CC318" s="1"/>
      <c r="CD318" s="1"/>
      <c r="CE318" s="1"/>
      <c r="CF318" s="1"/>
      <c r="CG318" s="1"/>
    </row>
    <row r="319" spans="1:85" ht="15.75" customHeight="1">
      <c r="A319" s="84"/>
      <c r="B319" s="115"/>
      <c r="C319" s="86" t="s">
        <v>420</v>
      </c>
      <c r="D319" s="87" t="s">
        <v>621</v>
      </c>
      <c r="E319" s="70">
        <v>17600</v>
      </c>
      <c r="F319" s="71"/>
      <c r="G319" s="71">
        <f t="shared" si="1450"/>
        <v>17600</v>
      </c>
      <c r="H319" s="70"/>
      <c r="I319" s="72">
        <f t="shared" si="1276"/>
        <v>0</v>
      </c>
      <c r="J319" s="72">
        <f t="shared" si="1277"/>
        <v>0</v>
      </c>
      <c r="K319" s="88"/>
      <c r="L319" s="81"/>
      <c r="M319" s="81"/>
      <c r="N319" s="88"/>
      <c r="O319" s="77">
        <f t="shared" ref="O319:Q319" si="1473">AA319+AD319+AG319+AJ319+AM319+AP319+AS319+AV319+AY319+BB319+BE319+BH319</f>
        <v>0</v>
      </c>
      <c r="P319" s="77">
        <f t="shared" si="1473"/>
        <v>0</v>
      </c>
      <c r="Q319" s="77">
        <f t="shared" si="1473"/>
        <v>0</v>
      </c>
      <c r="R319" s="77">
        <f t="shared" ref="R319:T319" si="1474">IF(BK319=0,SUM(AA319+AD319+AG319+AJ319+AM319+AP319+AS319+AV319+AY319+BB319+BE319+BH319),BK319)</f>
        <v>0</v>
      </c>
      <c r="S319" s="77">
        <f t="shared" si="1474"/>
        <v>0</v>
      </c>
      <c r="T319" s="77">
        <f t="shared" si="1474"/>
        <v>0</v>
      </c>
      <c r="U319" s="79">
        <f t="shared" si="1453"/>
        <v>0</v>
      </c>
      <c r="V319" s="79">
        <f t="shared" si="1454"/>
        <v>0</v>
      </c>
      <c r="W319" s="79">
        <f t="shared" si="1455"/>
        <v>0</v>
      </c>
      <c r="X319" s="80">
        <f t="shared" ref="X319:Y319" si="1475">IF(O319&gt;0,O319/K319,0)</f>
        <v>0</v>
      </c>
      <c r="Y319" s="80">
        <f t="shared" si="1475"/>
        <v>0</v>
      </c>
      <c r="Z319" s="80">
        <f t="shared" si="1280"/>
        <v>0</v>
      </c>
      <c r="AA319" s="81"/>
      <c r="AB319" s="81"/>
      <c r="AC319" s="81"/>
      <c r="AD319" s="81"/>
      <c r="AE319" s="83"/>
      <c r="AF319" s="83"/>
      <c r="AG319" s="83"/>
      <c r="AH319" s="83"/>
      <c r="AI319" s="81"/>
      <c r="AJ319" s="81"/>
      <c r="AK319" s="81"/>
      <c r="AL319" s="81"/>
      <c r="AM319" s="81"/>
      <c r="AN319" s="81"/>
      <c r="AO319" s="81"/>
      <c r="AP319" s="81"/>
      <c r="AQ319" s="81"/>
      <c r="AR319" s="81"/>
      <c r="AS319" s="81"/>
      <c r="AT319" s="81"/>
      <c r="AU319" s="81"/>
      <c r="AV319" s="81"/>
      <c r="AW319" s="81"/>
      <c r="AX319" s="81"/>
      <c r="AY319" s="81"/>
      <c r="AZ319" s="81"/>
      <c r="BA319" s="81"/>
      <c r="BB319" s="81"/>
      <c r="BC319" s="81"/>
      <c r="BD319" s="81"/>
      <c r="BE319" s="81"/>
      <c r="BF319" s="81"/>
      <c r="BG319" s="81"/>
      <c r="BH319" s="81"/>
      <c r="BI319" s="81"/>
      <c r="BJ319" s="81"/>
      <c r="BK319" s="82">
        <v>0</v>
      </c>
      <c r="BL319" s="82">
        <v>0</v>
      </c>
      <c r="BM319" s="82">
        <v>0</v>
      </c>
      <c r="BN319" s="81">
        <f t="shared" si="1457"/>
        <v>0</v>
      </c>
      <c r="BO319" s="75">
        <f t="shared" si="1458"/>
        <v>0</v>
      </c>
      <c r="BP319" s="81">
        <f t="shared" si="1459"/>
        <v>0</v>
      </c>
      <c r="BQ319" s="81">
        <f t="shared" si="1460"/>
        <v>0</v>
      </c>
      <c r="BR319" s="81">
        <f t="shared" si="1461"/>
        <v>0</v>
      </c>
      <c r="BS319" s="81">
        <f t="shared" si="1462"/>
        <v>0</v>
      </c>
      <c r="BT319" s="81">
        <f t="shared" si="1463"/>
        <v>0</v>
      </c>
      <c r="BU319" s="81">
        <f t="shared" si="1464"/>
        <v>0</v>
      </c>
      <c r="BV319" s="81">
        <f t="shared" si="1465"/>
        <v>0</v>
      </c>
      <c r="BW319" s="81">
        <f t="shared" si="1466"/>
        <v>0</v>
      </c>
      <c r="BX319" s="1"/>
      <c r="BY319" s="1"/>
      <c r="BZ319" s="1"/>
      <c r="CA319" s="1"/>
      <c r="CB319" s="1"/>
      <c r="CC319" s="1"/>
      <c r="CD319" s="1"/>
      <c r="CE319" s="1"/>
      <c r="CF319" s="1"/>
      <c r="CG319" s="1"/>
    </row>
    <row r="320" spans="1:85" ht="15.75" customHeight="1">
      <c r="A320" s="84"/>
      <c r="B320" s="115"/>
      <c r="C320" s="86" t="s">
        <v>304</v>
      </c>
      <c r="D320" s="87" t="s">
        <v>305</v>
      </c>
      <c r="E320" s="70">
        <v>0</v>
      </c>
      <c r="F320" s="71"/>
      <c r="G320" s="71">
        <f t="shared" si="1450"/>
        <v>0</v>
      </c>
      <c r="H320" s="70"/>
      <c r="I320" s="72">
        <f t="shared" si="1276"/>
        <v>0</v>
      </c>
      <c r="J320" s="72">
        <f t="shared" si="1277"/>
        <v>0</v>
      </c>
      <c r="K320" s="88"/>
      <c r="L320" s="81"/>
      <c r="M320" s="81"/>
      <c r="N320" s="88"/>
      <c r="O320" s="77">
        <f t="shared" ref="O320:Q320" si="1476">AA320+AD320+AG320+AJ320+AM320+AP320+AS320+AV320+AY320+BB320+BE320+BH320</f>
        <v>0</v>
      </c>
      <c r="P320" s="77">
        <f t="shared" si="1476"/>
        <v>0</v>
      </c>
      <c r="Q320" s="77">
        <f t="shared" si="1476"/>
        <v>0</v>
      </c>
      <c r="R320" s="77">
        <f t="shared" ref="R320:T320" si="1477">IF(BK320=0,SUM(AA320+AD320+AG320+AJ320+AM320+AP320+AS320+AV320+AY320+BB320+BE320+BH320),BK320)</f>
        <v>0</v>
      </c>
      <c r="S320" s="77">
        <f t="shared" si="1477"/>
        <v>0</v>
      </c>
      <c r="T320" s="77">
        <f t="shared" si="1477"/>
        <v>0</v>
      </c>
      <c r="U320" s="79">
        <f t="shared" si="1453"/>
        <v>0</v>
      </c>
      <c r="V320" s="79">
        <f t="shared" si="1454"/>
        <v>0</v>
      </c>
      <c r="W320" s="79">
        <f t="shared" si="1455"/>
        <v>0</v>
      </c>
      <c r="X320" s="80">
        <f t="shared" ref="X320:Y320" si="1478">IF(O320&gt;0,O320/K320,0)</f>
        <v>0</v>
      </c>
      <c r="Y320" s="80">
        <f t="shared" si="1478"/>
        <v>0</v>
      </c>
      <c r="Z320" s="80">
        <f t="shared" si="1280"/>
        <v>0</v>
      </c>
      <c r="AA320" s="81"/>
      <c r="AB320" s="81"/>
      <c r="AC320" s="81"/>
      <c r="AD320" s="81"/>
      <c r="AE320" s="83"/>
      <c r="AF320" s="83"/>
      <c r="AG320" s="83"/>
      <c r="AH320" s="83"/>
      <c r="AI320" s="81"/>
      <c r="AJ320" s="81"/>
      <c r="AK320" s="81"/>
      <c r="AL320" s="81"/>
      <c r="AM320" s="81"/>
      <c r="AN320" s="81"/>
      <c r="AO320" s="81"/>
      <c r="AP320" s="81"/>
      <c r="AQ320" s="81"/>
      <c r="AR320" s="81"/>
      <c r="AS320" s="81"/>
      <c r="AT320" s="81"/>
      <c r="AU320" s="81"/>
      <c r="AV320" s="81"/>
      <c r="AW320" s="81"/>
      <c r="AX320" s="81"/>
      <c r="AY320" s="81"/>
      <c r="AZ320" s="81"/>
      <c r="BA320" s="81"/>
      <c r="BB320" s="81"/>
      <c r="BC320" s="81"/>
      <c r="BD320" s="81"/>
      <c r="BE320" s="81"/>
      <c r="BF320" s="81"/>
      <c r="BG320" s="81"/>
      <c r="BH320" s="81"/>
      <c r="BI320" s="81"/>
      <c r="BJ320" s="81"/>
      <c r="BK320" s="82">
        <v>0</v>
      </c>
      <c r="BL320" s="82">
        <v>0</v>
      </c>
      <c r="BM320" s="82">
        <v>0</v>
      </c>
      <c r="BN320" s="81">
        <f t="shared" si="1457"/>
        <v>0</v>
      </c>
      <c r="BO320" s="75">
        <f t="shared" si="1458"/>
        <v>0</v>
      </c>
      <c r="BP320" s="81">
        <f t="shared" si="1459"/>
        <v>0</v>
      </c>
      <c r="BQ320" s="81">
        <f t="shared" si="1460"/>
        <v>0</v>
      </c>
      <c r="BR320" s="81">
        <f t="shared" si="1461"/>
        <v>0</v>
      </c>
      <c r="BS320" s="81">
        <f t="shared" si="1462"/>
        <v>0</v>
      </c>
      <c r="BT320" s="81">
        <f t="shared" si="1463"/>
        <v>0</v>
      </c>
      <c r="BU320" s="81">
        <f t="shared" si="1464"/>
        <v>0</v>
      </c>
      <c r="BV320" s="81">
        <f t="shared" si="1465"/>
        <v>0</v>
      </c>
      <c r="BW320" s="81">
        <f t="shared" si="1466"/>
        <v>0</v>
      </c>
      <c r="BX320" s="1"/>
      <c r="BY320" s="1"/>
      <c r="BZ320" s="1"/>
      <c r="CA320" s="1"/>
      <c r="CB320" s="1"/>
      <c r="CC320" s="1"/>
      <c r="CD320" s="1"/>
      <c r="CE320" s="1"/>
      <c r="CF320" s="1"/>
      <c r="CG320" s="1"/>
    </row>
    <row r="321" spans="1:85" ht="15.75" customHeight="1">
      <c r="A321" s="84"/>
      <c r="B321" s="115"/>
      <c r="C321" s="86" t="s">
        <v>622</v>
      </c>
      <c r="D321" s="87" t="s">
        <v>623</v>
      </c>
      <c r="E321" s="70">
        <v>2000</v>
      </c>
      <c r="F321" s="71"/>
      <c r="G321" s="71">
        <f t="shared" si="1450"/>
        <v>2000</v>
      </c>
      <c r="H321" s="70"/>
      <c r="I321" s="72">
        <f t="shared" si="1276"/>
        <v>0</v>
      </c>
      <c r="J321" s="72">
        <f t="shared" si="1277"/>
        <v>0</v>
      </c>
      <c r="K321" s="88"/>
      <c r="L321" s="81"/>
      <c r="M321" s="81"/>
      <c r="N321" s="88"/>
      <c r="O321" s="77">
        <f t="shared" ref="O321:Q321" si="1479">AA321+AD321+AG321+AJ321+AM321+AP321+AS321+AV321+AY321+BB321+BE321+BH321</f>
        <v>0</v>
      </c>
      <c r="P321" s="77">
        <f t="shared" si="1479"/>
        <v>0</v>
      </c>
      <c r="Q321" s="77">
        <f t="shared" si="1479"/>
        <v>0</v>
      </c>
      <c r="R321" s="77">
        <f t="shared" ref="R321:T321" si="1480">IF(BK321=0,SUM(AA321+AD321+AG321+AJ321+AM321+AP321+AS321+AV321+AY321+BB321+BE321+BH321),BK321)</f>
        <v>0</v>
      </c>
      <c r="S321" s="77">
        <f t="shared" si="1480"/>
        <v>0</v>
      </c>
      <c r="T321" s="77">
        <f t="shared" si="1480"/>
        <v>0</v>
      </c>
      <c r="U321" s="79">
        <f t="shared" si="1453"/>
        <v>0</v>
      </c>
      <c r="V321" s="79">
        <f t="shared" si="1454"/>
        <v>0</v>
      </c>
      <c r="W321" s="79">
        <f t="shared" si="1455"/>
        <v>0</v>
      </c>
      <c r="X321" s="80">
        <f t="shared" ref="X321:Y321" si="1481">IF(O321&gt;0,O321/K321,0)</f>
        <v>0</v>
      </c>
      <c r="Y321" s="80">
        <f t="shared" si="1481"/>
        <v>0</v>
      </c>
      <c r="Z321" s="80">
        <f t="shared" si="1280"/>
        <v>0</v>
      </c>
      <c r="AA321" s="81"/>
      <c r="AB321" s="81"/>
      <c r="AC321" s="81"/>
      <c r="AD321" s="81"/>
      <c r="AE321" s="83"/>
      <c r="AF321" s="83"/>
      <c r="AG321" s="83"/>
      <c r="AH321" s="83"/>
      <c r="AI321" s="81"/>
      <c r="AJ321" s="81"/>
      <c r="AK321" s="81"/>
      <c r="AL321" s="81"/>
      <c r="AM321" s="81"/>
      <c r="AN321" s="81"/>
      <c r="AO321" s="81"/>
      <c r="AP321" s="81"/>
      <c r="AQ321" s="81"/>
      <c r="AR321" s="81"/>
      <c r="AS321" s="81"/>
      <c r="AT321" s="81"/>
      <c r="AU321" s="81"/>
      <c r="AV321" s="81"/>
      <c r="AW321" s="81"/>
      <c r="AX321" s="81"/>
      <c r="AY321" s="81"/>
      <c r="AZ321" s="81"/>
      <c r="BA321" s="81"/>
      <c r="BB321" s="81"/>
      <c r="BC321" s="81"/>
      <c r="BD321" s="81"/>
      <c r="BE321" s="81"/>
      <c r="BF321" s="81"/>
      <c r="BG321" s="81"/>
      <c r="BH321" s="81"/>
      <c r="BI321" s="81"/>
      <c r="BJ321" s="81"/>
      <c r="BK321" s="82">
        <v>0</v>
      </c>
      <c r="BL321" s="82">
        <v>0</v>
      </c>
      <c r="BM321" s="82">
        <v>0</v>
      </c>
      <c r="BN321" s="81">
        <f t="shared" si="1457"/>
        <v>0</v>
      </c>
      <c r="BO321" s="75">
        <f t="shared" si="1458"/>
        <v>0</v>
      </c>
      <c r="BP321" s="81">
        <f t="shared" si="1459"/>
        <v>0</v>
      </c>
      <c r="BQ321" s="81">
        <f t="shared" si="1460"/>
        <v>0</v>
      </c>
      <c r="BR321" s="81">
        <f t="shared" si="1461"/>
        <v>0</v>
      </c>
      <c r="BS321" s="81">
        <f t="shared" si="1462"/>
        <v>0</v>
      </c>
      <c r="BT321" s="81">
        <f t="shared" si="1463"/>
        <v>0</v>
      </c>
      <c r="BU321" s="81">
        <f t="shared" si="1464"/>
        <v>0</v>
      </c>
      <c r="BV321" s="81">
        <f t="shared" si="1465"/>
        <v>0</v>
      </c>
      <c r="BW321" s="81">
        <f t="shared" si="1466"/>
        <v>0</v>
      </c>
      <c r="BX321" s="1"/>
      <c r="BY321" s="1"/>
      <c r="BZ321" s="1"/>
      <c r="CA321" s="1"/>
      <c r="CB321" s="1"/>
      <c r="CC321" s="1"/>
      <c r="CD321" s="1"/>
      <c r="CE321" s="1"/>
      <c r="CF321" s="1"/>
      <c r="CG321" s="1"/>
    </row>
    <row r="322" spans="1:85" ht="15.75" customHeight="1">
      <c r="A322" s="125" t="s">
        <v>624</v>
      </c>
      <c r="B322" s="115"/>
      <c r="C322" s="86" t="s">
        <v>625</v>
      </c>
      <c r="D322" s="87" t="s">
        <v>626</v>
      </c>
      <c r="E322" s="70">
        <v>40000</v>
      </c>
      <c r="F322" s="71"/>
      <c r="G322" s="71">
        <f t="shared" si="1450"/>
        <v>40000</v>
      </c>
      <c r="H322" s="70"/>
      <c r="I322" s="72">
        <f t="shared" si="1276"/>
        <v>1.81338</v>
      </c>
      <c r="J322" s="72">
        <f t="shared" si="1277"/>
        <v>1.81338</v>
      </c>
      <c r="K322" s="73">
        <f>10180+9200+15084.9-3606.9+144780-105180-13848+18800+2820-4804-890.8</f>
        <v>72535.199999999997</v>
      </c>
      <c r="L322" s="81"/>
      <c r="M322" s="81"/>
      <c r="N322" s="88"/>
      <c r="O322" s="77">
        <f t="shared" ref="O322:Q322" si="1482">AA322+AD322+AG322+AJ322+AM322+AP322+AS322+AV322+AY322+BB322+BE322+BH322</f>
        <v>72535.199999999997</v>
      </c>
      <c r="P322" s="77">
        <f t="shared" si="1482"/>
        <v>0</v>
      </c>
      <c r="Q322" s="77">
        <f t="shared" si="1482"/>
        <v>0</v>
      </c>
      <c r="R322" s="77">
        <f t="shared" ref="R322:T322" si="1483">IF(BK322=0,SUM(AA322+AD322+AG322+AJ322+AM322+AP322+AS322+AV322+AY322+BB322+BE322+BH322),BK322)</f>
        <v>72535.199999999997</v>
      </c>
      <c r="S322" s="77">
        <f t="shared" si="1483"/>
        <v>0</v>
      </c>
      <c r="T322" s="77">
        <f t="shared" si="1483"/>
        <v>0</v>
      </c>
      <c r="U322" s="78">
        <f t="shared" si="1453"/>
        <v>0</v>
      </c>
      <c r="V322" s="79">
        <f t="shared" si="1454"/>
        <v>0</v>
      </c>
      <c r="W322" s="79">
        <f t="shared" si="1455"/>
        <v>0</v>
      </c>
      <c r="X322" s="80">
        <f t="shared" ref="X322:Y322" si="1484">IF(O322&gt;0,O322/K322,0)</f>
        <v>1</v>
      </c>
      <c r="Y322" s="80">
        <f t="shared" si="1484"/>
        <v>0</v>
      </c>
      <c r="Z322" s="80">
        <f t="shared" si="1280"/>
        <v>0</v>
      </c>
      <c r="AA322" s="81"/>
      <c r="AB322" s="81"/>
      <c r="AC322" s="81"/>
      <c r="AD322" s="81"/>
      <c r="AE322" s="83"/>
      <c r="AF322" s="83"/>
      <c r="AG322" s="83"/>
      <c r="AH322" s="83"/>
      <c r="AI322" s="81"/>
      <c r="AJ322" s="81"/>
      <c r="AK322" s="81"/>
      <c r="AL322" s="81"/>
      <c r="AM322" s="81"/>
      <c r="AN322" s="81"/>
      <c r="AO322" s="81"/>
      <c r="AP322" s="81">
        <f>5090+967.1+8653+1272.5</f>
        <v>15982.6</v>
      </c>
      <c r="AQ322" s="81"/>
      <c r="AR322" s="81"/>
      <c r="AS322" s="81">
        <f>763.5+509+3084.9</f>
        <v>4357.3999999999996</v>
      </c>
      <c r="AT322" s="81"/>
      <c r="AU322" s="81"/>
      <c r="AV322" s="81">
        <f>4800+744+3900+1074</f>
        <v>10518</v>
      </c>
      <c r="AW322" s="81"/>
      <c r="AX322" s="81"/>
      <c r="AY322" s="81">
        <f>(2162*4)+319.6-319.6+2820+319.6</f>
        <v>11787.6</v>
      </c>
      <c r="AZ322" s="81"/>
      <c r="BA322" s="81"/>
      <c r="BB322" s="81">
        <f>5700+276+3102+7990+5076+5076+1880+789.6</f>
        <v>29889.599999999999</v>
      </c>
      <c r="BC322" s="81"/>
      <c r="BD322" s="81"/>
      <c r="BE322" s="81"/>
      <c r="BF322" s="81"/>
      <c r="BG322" s="81"/>
      <c r="BH322" s="81"/>
      <c r="BI322" s="81"/>
      <c r="BJ322" s="81"/>
      <c r="BK322" s="82">
        <v>72535.199999999997</v>
      </c>
      <c r="BL322" s="82">
        <v>0</v>
      </c>
      <c r="BM322" s="82">
        <v>0</v>
      </c>
      <c r="BN322" s="81">
        <f t="shared" si="1457"/>
        <v>0</v>
      </c>
      <c r="BO322" s="75">
        <f t="shared" si="1458"/>
        <v>0</v>
      </c>
      <c r="BP322" s="81">
        <f t="shared" si="1459"/>
        <v>0</v>
      </c>
      <c r="BQ322" s="81">
        <f t="shared" si="1460"/>
        <v>0</v>
      </c>
      <c r="BR322" s="81">
        <f t="shared" si="1461"/>
        <v>0</v>
      </c>
      <c r="BS322" s="81">
        <f t="shared" si="1462"/>
        <v>0</v>
      </c>
      <c r="BT322" s="81">
        <f t="shared" si="1463"/>
        <v>0</v>
      </c>
      <c r="BU322" s="81">
        <f t="shared" si="1464"/>
        <v>0</v>
      </c>
      <c r="BV322" s="81">
        <f t="shared" si="1465"/>
        <v>0</v>
      </c>
      <c r="BW322" s="81">
        <f t="shared" si="1466"/>
        <v>0</v>
      </c>
      <c r="BX322" s="1"/>
      <c r="BY322" s="1"/>
      <c r="BZ322" s="1"/>
      <c r="CA322" s="1"/>
      <c r="CB322" s="1"/>
      <c r="CC322" s="1"/>
      <c r="CD322" s="1"/>
      <c r="CE322" s="1"/>
      <c r="CF322" s="1"/>
      <c r="CG322" s="1"/>
    </row>
    <row r="323" spans="1:85" ht="15.75" customHeight="1">
      <c r="A323" s="270"/>
      <c r="B323" s="271"/>
      <c r="C323" s="272"/>
      <c r="D323" s="112" t="s">
        <v>330</v>
      </c>
      <c r="E323" s="58">
        <f t="shared" ref="E323:H323" si="1485">E324</f>
        <v>0</v>
      </c>
      <c r="F323" s="59">
        <f t="shared" si="1485"/>
        <v>0</v>
      </c>
      <c r="G323" s="59">
        <f t="shared" si="1485"/>
        <v>0</v>
      </c>
      <c r="H323" s="59">
        <f t="shared" si="1485"/>
        <v>0</v>
      </c>
      <c r="I323" s="60">
        <f t="shared" si="1276"/>
        <v>0</v>
      </c>
      <c r="J323" s="60">
        <f t="shared" si="1277"/>
        <v>0</v>
      </c>
      <c r="K323" s="59">
        <f t="shared" ref="K323:W323" si="1486">K324</f>
        <v>0</v>
      </c>
      <c r="L323" s="59">
        <f t="shared" si="1486"/>
        <v>0</v>
      </c>
      <c r="M323" s="59">
        <f t="shared" si="1486"/>
        <v>0</v>
      </c>
      <c r="N323" s="59">
        <f t="shared" si="1486"/>
        <v>0</v>
      </c>
      <c r="O323" s="59">
        <f t="shared" si="1486"/>
        <v>0</v>
      </c>
      <c r="P323" s="59">
        <f t="shared" si="1486"/>
        <v>0</v>
      </c>
      <c r="Q323" s="59">
        <f t="shared" si="1486"/>
        <v>0</v>
      </c>
      <c r="R323" s="59">
        <f t="shared" si="1486"/>
        <v>0</v>
      </c>
      <c r="S323" s="59">
        <f t="shared" si="1486"/>
        <v>0</v>
      </c>
      <c r="T323" s="59">
        <f t="shared" si="1486"/>
        <v>0</v>
      </c>
      <c r="U323" s="59">
        <f t="shared" si="1486"/>
        <v>0</v>
      </c>
      <c r="V323" s="59">
        <f t="shared" si="1486"/>
        <v>0</v>
      </c>
      <c r="W323" s="59">
        <f t="shared" si="1486"/>
        <v>0</v>
      </c>
      <c r="X323" s="63">
        <f t="shared" ref="X323:Y323" si="1487">IF(O323&gt;0,O323/K323,0)</f>
        <v>0</v>
      </c>
      <c r="Y323" s="63">
        <f t="shared" si="1487"/>
        <v>0</v>
      </c>
      <c r="Z323" s="63">
        <f t="shared" si="1280"/>
        <v>0</v>
      </c>
      <c r="AA323" s="59">
        <f t="shared" ref="AA323:BW323" si="1488">AA324</f>
        <v>0</v>
      </c>
      <c r="AB323" s="59">
        <f t="shared" si="1488"/>
        <v>0</v>
      </c>
      <c r="AC323" s="59">
        <f t="shared" si="1488"/>
        <v>0</v>
      </c>
      <c r="AD323" s="59">
        <f t="shared" si="1488"/>
        <v>0</v>
      </c>
      <c r="AE323" s="59">
        <f t="shared" si="1488"/>
        <v>0</v>
      </c>
      <c r="AF323" s="59">
        <f t="shared" si="1488"/>
        <v>0</v>
      </c>
      <c r="AG323" s="59">
        <f t="shared" si="1488"/>
        <v>0</v>
      </c>
      <c r="AH323" s="59">
        <f t="shared" si="1488"/>
        <v>0</v>
      </c>
      <c r="AI323" s="59">
        <f t="shared" si="1488"/>
        <v>0</v>
      </c>
      <c r="AJ323" s="59">
        <f t="shared" si="1488"/>
        <v>0</v>
      </c>
      <c r="AK323" s="59">
        <f t="shared" si="1488"/>
        <v>0</v>
      </c>
      <c r="AL323" s="59">
        <f t="shared" si="1488"/>
        <v>0</v>
      </c>
      <c r="AM323" s="59">
        <f t="shared" si="1488"/>
        <v>0</v>
      </c>
      <c r="AN323" s="59">
        <f t="shared" si="1488"/>
        <v>0</v>
      </c>
      <c r="AO323" s="59">
        <f t="shared" si="1488"/>
        <v>0</v>
      </c>
      <c r="AP323" s="59">
        <f t="shared" si="1488"/>
        <v>0</v>
      </c>
      <c r="AQ323" s="59">
        <f t="shared" si="1488"/>
        <v>0</v>
      </c>
      <c r="AR323" s="59">
        <f t="shared" si="1488"/>
        <v>0</v>
      </c>
      <c r="AS323" s="59">
        <f t="shared" si="1488"/>
        <v>0</v>
      </c>
      <c r="AT323" s="59">
        <f t="shared" si="1488"/>
        <v>0</v>
      </c>
      <c r="AU323" s="59">
        <f t="shared" si="1488"/>
        <v>0</v>
      </c>
      <c r="AV323" s="59">
        <f t="shared" si="1488"/>
        <v>0</v>
      </c>
      <c r="AW323" s="59">
        <f t="shared" si="1488"/>
        <v>0</v>
      </c>
      <c r="AX323" s="59">
        <f t="shared" si="1488"/>
        <v>0</v>
      </c>
      <c r="AY323" s="59">
        <f t="shared" si="1488"/>
        <v>0</v>
      </c>
      <c r="AZ323" s="59">
        <f t="shared" si="1488"/>
        <v>0</v>
      </c>
      <c r="BA323" s="59">
        <f t="shared" si="1488"/>
        <v>0</v>
      </c>
      <c r="BB323" s="59">
        <f t="shared" si="1488"/>
        <v>0</v>
      </c>
      <c r="BC323" s="59">
        <f t="shared" si="1488"/>
        <v>0</v>
      </c>
      <c r="BD323" s="59">
        <f t="shared" si="1488"/>
        <v>0</v>
      </c>
      <c r="BE323" s="59">
        <f t="shared" si="1488"/>
        <v>0</v>
      </c>
      <c r="BF323" s="59">
        <f t="shared" si="1488"/>
        <v>0</v>
      </c>
      <c r="BG323" s="59">
        <f t="shared" si="1488"/>
        <v>0</v>
      </c>
      <c r="BH323" s="59">
        <f t="shared" si="1488"/>
        <v>0</v>
      </c>
      <c r="BI323" s="59">
        <f t="shared" si="1488"/>
        <v>0</v>
      </c>
      <c r="BJ323" s="59">
        <f t="shared" si="1488"/>
        <v>0</v>
      </c>
      <c r="BK323" s="59">
        <f t="shared" si="1488"/>
        <v>0</v>
      </c>
      <c r="BL323" s="59">
        <f t="shared" si="1488"/>
        <v>0</v>
      </c>
      <c r="BM323" s="59">
        <f t="shared" si="1488"/>
        <v>0</v>
      </c>
      <c r="BN323" s="59">
        <f t="shared" si="1488"/>
        <v>0</v>
      </c>
      <c r="BO323" s="59">
        <f t="shared" si="1488"/>
        <v>0</v>
      </c>
      <c r="BP323" s="59">
        <f t="shared" si="1488"/>
        <v>0</v>
      </c>
      <c r="BQ323" s="59">
        <f t="shared" si="1488"/>
        <v>0</v>
      </c>
      <c r="BR323" s="59">
        <f t="shared" si="1488"/>
        <v>0</v>
      </c>
      <c r="BS323" s="59">
        <f t="shared" si="1488"/>
        <v>0</v>
      </c>
      <c r="BT323" s="59">
        <f t="shared" si="1488"/>
        <v>0</v>
      </c>
      <c r="BU323" s="59">
        <f t="shared" si="1488"/>
        <v>0</v>
      </c>
      <c r="BV323" s="59">
        <f t="shared" si="1488"/>
        <v>0</v>
      </c>
      <c r="BW323" s="59">
        <f t="shared" si="1488"/>
        <v>0</v>
      </c>
      <c r="BX323" s="1"/>
      <c r="BY323" s="1"/>
      <c r="BZ323" s="1"/>
      <c r="CA323" s="1"/>
      <c r="CB323" s="1"/>
      <c r="CC323" s="1"/>
      <c r="CD323" s="1"/>
      <c r="CE323" s="1"/>
      <c r="CF323" s="1"/>
      <c r="CG323" s="1"/>
    </row>
    <row r="324" spans="1:85" ht="15.75" customHeight="1">
      <c r="A324" s="84"/>
      <c r="B324" s="115"/>
      <c r="C324" s="86" t="s">
        <v>538</v>
      </c>
      <c r="D324" s="87" t="s">
        <v>627</v>
      </c>
      <c r="E324" s="70"/>
      <c r="F324" s="71"/>
      <c r="G324" s="71">
        <f>E324-F324</f>
        <v>0</v>
      </c>
      <c r="H324" s="70"/>
      <c r="I324" s="72">
        <f t="shared" si="1276"/>
        <v>0</v>
      </c>
      <c r="J324" s="72">
        <f t="shared" si="1277"/>
        <v>0</v>
      </c>
      <c r="K324" s="88"/>
      <c r="L324" s="81"/>
      <c r="M324" s="81"/>
      <c r="N324" s="107"/>
      <c r="O324" s="77">
        <f t="shared" ref="O324:Q324" si="1489">AA324+AD324+AG324+AJ324+AM324+AP324+AS324+AV324+AY324+BB324+BE324+BH324</f>
        <v>0</v>
      </c>
      <c r="P324" s="77">
        <f t="shared" si="1489"/>
        <v>0</v>
      </c>
      <c r="Q324" s="77">
        <f t="shared" si="1489"/>
        <v>0</v>
      </c>
      <c r="R324" s="77">
        <f t="shared" ref="R324:T324" si="1490">IF(BK324=0,SUM(AA324+AD324+AG324+AJ324+AM324+AP324+AS324+AV324+AY324+BB324+BE324+BH324),BK324)</f>
        <v>0</v>
      </c>
      <c r="S324" s="77">
        <f t="shared" si="1490"/>
        <v>0</v>
      </c>
      <c r="T324" s="77">
        <f t="shared" si="1490"/>
        <v>0</v>
      </c>
      <c r="U324" s="79">
        <f>K324-O324</f>
        <v>0</v>
      </c>
      <c r="V324" s="79">
        <f>L324-M324-S324</f>
        <v>0</v>
      </c>
      <c r="W324" s="79">
        <f>N324-Q324</f>
        <v>0</v>
      </c>
      <c r="X324" s="80">
        <f t="shared" ref="X324:Y324" si="1491">IF(O324&gt;0,O324/K324,0)</f>
        <v>0</v>
      </c>
      <c r="Y324" s="80">
        <f t="shared" si="1491"/>
        <v>0</v>
      </c>
      <c r="Z324" s="80">
        <f t="shared" si="1280"/>
        <v>0</v>
      </c>
      <c r="AA324" s="81"/>
      <c r="AB324" s="81"/>
      <c r="AC324" s="81"/>
      <c r="AD324" s="81"/>
      <c r="AE324" s="83"/>
      <c r="AF324" s="83"/>
      <c r="AG324" s="83"/>
      <c r="AH324" s="83"/>
      <c r="AI324" s="81"/>
      <c r="AJ324" s="81"/>
      <c r="AK324" s="81"/>
      <c r="AL324" s="81"/>
      <c r="AM324" s="81"/>
      <c r="AN324" s="81"/>
      <c r="AO324" s="81"/>
      <c r="AP324" s="81"/>
      <c r="AQ324" s="81"/>
      <c r="AR324" s="81"/>
      <c r="AS324" s="81"/>
      <c r="AT324" s="81"/>
      <c r="AU324" s="81"/>
      <c r="AV324" s="81"/>
      <c r="AW324" s="81"/>
      <c r="AX324" s="81"/>
      <c r="AY324" s="81"/>
      <c r="AZ324" s="81"/>
      <c r="BA324" s="81"/>
      <c r="BB324" s="81"/>
      <c r="BC324" s="81"/>
      <c r="BD324" s="81"/>
      <c r="BE324" s="81"/>
      <c r="BF324" s="81"/>
      <c r="BG324" s="81"/>
      <c r="BH324" s="81"/>
      <c r="BI324" s="81"/>
      <c r="BJ324" s="81"/>
      <c r="BK324" s="82">
        <v>0</v>
      </c>
      <c r="BL324" s="82">
        <v>0</v>
      </c>
      <c r="BM324" s="82">
        <v>0</v>
      </c>
      <c r="BN324" s="81">
        <f>IF(O324-BK324&gt;0,O324-BK324,0)</f>
        <v>0</v>
      </c>
      <c r="BO324" s="75">
        <f>IF(Q324-BM324&gt;0,Q324-BM324,0)</f>
        <v>0</v>
      </c>
      <c r="BP324" s="81">
        <f>IF(BN324+BO324&gt;0,BN324+BO324,0)</f>
        <v>0</v>
      </c>
      <c r="BQ324" s="81">
        <f>IF(U324=0,0,U324)</f>
        <v>0</v>
      </c>
      <c r="BR324" s="81">
        <f>IF(W324=0,0,W324)</f>
        <v>0</v>
      </c>
      <c r="BS324" s="81">
        <f>IF(BQ324+BR324&gt;0,BQ324+BR324,0)</f>
        <v>0</v>
      </c>
      <c r="BT324" s="81">
        <f>IF(V324&gt;0,V324,0)</f>
        <v>0</v>
      </c>
      <c r="BU324" s="81">
        <f>IF(BP324=0,0,BP324)</f>
        <v>0</v>
      </c>
      <c r="BV324" s="81">
        <f>IF(BS324=0,0,BS324)</f>
        <v>0</v>
      </c>
      <c r="BW324" s="81">
        <f>IF(BP324+BT324+BV324&gt;0,BP324+BT324+BV324,0)</f>
        <v>0</v>
      </c>
      <c r="BX324" s="1"/>
      <c r="BY324" s="1"/>
      <c r="BZ324" s="1"/>
      <c r="CA324" s="1"/>
      <c r="CB324" s="1"/>
      <c r="CC324" s="1"/>
      <c r="CD324" s="1"/>
      <c r="CE324" s="1"/>
      <c r="CF324" s="1"/>
      <c r="CG324" s="1"/>
    </row>
    <row r="325" spans="1:85" ht="15.75" customHeight="1">
      <c r="A325" s="270"/>
      <c r="B325" s="271"/>
      <c r="C325" s="272"/>
      <c r="D325" s="112" t="s">
        <v>344</v>
      </c>
      <c r="E325" s="58">
        <f t="shared" ref="E325:H325" si="1492">E326</f>
        <v>0</v>
      </c>
      <c r="F325" s="59">
        <f t="shared" si="1492"/>
        <v>0</v>
      </c>
      <c r="G325" s="59">
        <f t="shared" si="1492"/>
        <v>0</v>
      </c>
      <c r="H325" s="59">
        <f t="shared" si="1492"/>
        <v>0</v>
      </c>
      <c r="I325" s="60">
        <f t="shared" si="1276"/>
        <v>0</v>
      </c>
      <c r="J325" s="60">
        <f t="shared" si="1277"/>
        <v>0</v>
      </c>
      <c r="K325" s="59">
        <f t="shared" ref="K325:W325" si="1493">K326</f>
        <v>0</v>
      </c>
      <c r="L325" s="59">
        <f t="shared" si="1493"/>
        <v>0</v>
      </c>
      <c r="M325" s="59">
        <f t="shared" si="1493"/>
        <v>0</v>
      </c>
      <c r="N325" s="59">
        <f t="shared" si="1493"/>
        <v>0</v>
      </c>
      <c r="O325" s="59">
        <f t="shared" si="1493"/>
        <v>0</v>
      </c>
      <c r="P325" s="59">
        <f t="shared" si="1493"/>
        <v>0</v>
      </c>
      <c r="Q325" s="59">
        <f t="shared" si="1493"/>
        <v>0</v>
      </c>
      <c r="R325" s="59">
        <f t="shared" si="1493"/>
        <v>0</v>
      </c>
      <c r="S325" s="59">
        <f t="shared" si="1493"/>
        <v>0</v>
      </c>
      <c r="T325" s="59">
        <f t="shared" si="1493"/>
        <v>0</v>
      </c>
      <c r="U325" s="59">
        <f t="shared" si="1493"/>
        <v>0</v>
      </c>
      <c r="V325" s="59">
        <f t="shared" si="1493"/>
        <v>0</v>
      </c>
      <c r="W325" s="59">
        <f t="shared" si="1493"/>
        <v>0</v>
      </c>
      <c r="X325" s="63">
        <f t="shared" ref="X325:Y325" si="1494">IF(O325&gt;0,O325/K325,0)</f>
        <v>0</v>
      </c>
      <c r="Y325" s="63">
        <f t="shared" si="1494"/>
        <v>0</v>
      </c>
      <c r="Z325" s="63">
        <f t="shared" si="1280"/>
        <v>0</v>
      </c>
      <c r="AA325" s="59">
        <f t="shared" ref="AA325:BW325" si="1495">AA326</f>
        <v>0</v>
      </c>
      <c r="AB325" s="59">
        <f t="shared" si="1495"/>
        <v>0</v>
      </c>
      <c r="AC325" s="59">
        <f t="shared" si="1495"/>
        <v>0</v>
      </c>
      <c r="AD325" s="59">
        <f t="shared" si="1495"/>
        <v>0</v>
      </c>
      <c r="AE325" s="59">
        <f t="shared" si="1495"/>
        <v>0</v>
      </c>
      <c r="AF325" s="59">
        <f t="shared" si="1495"/>
        <v>0</v>
      </c>
      <c r="AG325" s="59">
        <f t="shared" si="1495"/>
        <v>0</v>
      </c>
      <c r="AH325" s="59">
        <f t="shared" si="1495"/>
        <v>0</v>
      </c>
      <c r="AI325" s="59">
        <f t="shared" si="1495"/>
        <v>0</v>
      </c>
      <c r="AJ325" s="59">
        <f t="shared" si="1495"/>
        <v>0</v>
      </c>
      <c r="AK325" s="59">
        <f t="shared" si="1495"/>
        <v>0</v>
      </c>
      <c r="AL325" s="59">
        <f t="shared" si="1495"/>
        <v>0</v>
      </c>
      <c r="AM325" s="59">
        <f t="shared" si="1495"/>
        <v>0</v>
      </c>
      <c r="AN325" s="59">
        <f t="shared" si="1495"/>
        <v>0</v>
      </c>
      <c r="AO325" s="59">
        <f t="shared" si="1495"/>
        <v>0</v>
      </c>
      <c r="AP325" s="59">
        <f t="shared" si="1495"/>
        <v>0</v>
      </c>
      <c r="AQ325" s="59">
        <f t="shared" si="1495"/>
        <v>0</v>
      </c>
      <c r="AR325" s="59">
        <f t="shared" si="1495"/>
        <v>0</v>
      </c>
      <c r="AS325" s="59">
        <f t="shared" si="1495"/>
        <v>0</v>
      </c>
      <c r="AT325" s="59">
        <f t="shared" si="1495"/>
        <v>0</v>
      </c>
      <c r="AU325" s="59">
        <f t="shared" si="1495"/>
        <v>0</v>
      </c>
      <c r="AV325" s="59">
        <f t="shared" si="1495"/>
        <v>0</v>
      </c>
      <c r="AW325" s="59">
        <f t="shared" si="1495"/>
        <v>0</v>
      </c>
      <c r="AX325" s="59">
        <f t="shared" si="1495"/>
        <v>0</v>
      </c>
      <c r="AY325" s="59">
        <f t="shared" si="1495"/>
        <v>0</v>
      </c>
      <c r="AZ325" s="59">
        <f t="shared" si="1495"/>
        <v>0</v>
      </c>
      <c r="BA325" s="59">
        <f t="shared" si="1495"/>
        <v>0</v>
      </c>
      <c r="BB325" s="59">
        <f t="shared" si="1495"/>
        <v>0</v>
      </c>
      <c r="BC325" s="59">
        <f t="shared" si="1495"/>
        <v>0</v>
      </c>
      <c r="BD325" s="59">
        <f t="shared" si="1495"/>
        <v>0</v>
      </c>
      <c r="BE325" s="59">
        <f t="shared" si="1495"/>
        <v>0</v>
      </c>
      <c r="BF325" s="59">
        <f t="shared" si="1495"/>
        <v>0</v>
      </c>
      <c r="BG325" s="59">
        <f t="shared" si="1495"/>
        <v>0</v>
      </c>
      <c r="BH325" s="59">
        <f t="shared" si="1495"/>
        <v>0</v>
      </c>
      <c r="BI325" s="59">
        <f t="shared" si="1495"/>
        <v>0</v>
      </c>
      <c r="BJ325" s="59">
        <f t="shared" si="1495"/>
        <v>0</v>
      </c>
      <c r="BK325" s="59">
        <f t="shared" si="1495"/>
        <v>0</v>
      </c>
      <c r="BL325" s="59">
        <f t="shared" si="1495"/>
        <v>0</v>
      </c>
      <c r="BM325" s="59">
        <f t="shared" si="1495"/>
        <v>0</v>
      </c>
      <c r="BN325" s="59">
        <f t="shared" si="1495"/>
        <v>0</v>
      </c>
      <c r="BO325" s="59">
        <f t="shared" si="1495"/>
        <v>0</v>
      </c>
      <c r="BP325" s="59">
        <f t="shared" si="1495"/>
        <v>0</v>
      </c>
      <c r="BQ325" s="59">
        <f t="shared" si="1495"/>
        <v>0</v>
      </c>
      <c r="BR325" s="59">
        <f t="shared" si="1495"/>
        <v>0</v>
      </c>
      <c r="BS325" s="59">
        <f t="shared" si="1495"/>
        <v>0</v>
      </c>
      <c r="BT325" s="59">
        <f t="shared" si="1495"/>
        <v>0</v>
      </c>
      <c r="BU325" s="59">
        <f t="shared" si="1495"/>
        <v>0</v>
      </c>
      <c r="BV325" s="59">
        <f t="shared" si="1495"/>
        <v>0</v>
      </c>
      <c r="BW325" s="59">
        <f t="shared" si="1495"/>
        <v>0</v>
      </c>
      <c r="BX325" s="1"/>
      <c r="BY325" s="1"/>
      <c r="BZ325" s="1"/>
      <c r="CA325" s="1"/>
      <c r="CB325" s="1"/>
      <c r="CC325" s="1"/>
      <c r="CD325" s="1"/>
      <c r="CE325" s="1"/>
      <c r="CF325" s="1"/>
      <c r="CG325" s="1"/>
    </row>
    <row r="326" spans="1:85" ht="15.75" customHeight="1">
      <c r="A326" s="84"/>
      <c r="B326" s="115"/>
      <c r="C326" s="86" t="s">
        <v>455</v>
      </c>
      <c r="D326" s="87" t="s">
        <v>628</v>
      </c>
      <c r="E326" s="70"/>
      <c r="F326" s="71"/>
      <c r="G326" s="71">
        <f>E326-F326</f>
        <v>0</v>
      </c>
      <c r="H326" s="127">
        <v>0</v>
      </c>
      <c r="I326" s="72">
        <f t="shared" si="1276"/>
        <v>0</v>
      </c>
      <c r="J326" s="72">
        <f t="shared" si="1277"/>
        <v>0</v>
      </c>
      <c r="K326" s="88"/>
      <c r="L326" s="81"/>
      <c r="M326" s="81"/>
      <c r="N326" s="107"/>
      <c r="O326" s="77">
        <f t="shared" ref="O326:Q326" si="1496">AA326+AD326+AG326+AJ326+AM326+AP326+AS326+AV326+AY326+BB326+BE326+BH326</f>
        <v>0</v>
      </c>
      <c r="P326" s="77">
        <f t="shared" si="1496"/>
        <v>0</v>
      </c>
      <c r="Q326" s="77">
        <f t="shared" si="1496"/>
        <v>0</v>
      </c>
      <c r="R326" s="77">
        <f t="shared" ref="R326:T326" si="1497">IF(BK326=0,SUM(AA326+AD326+AG326+AJ326+AM326+AP326+AS326+AV326+AY326+BB326+BE326+BH326),BK326)</f>
        <v>0</v>
      </c>
      <c r="S326" s="77">
        <f t="shared" si="1497"/>
        <v>0</v>
      </c>
      <c r="T326" s="77">
        <f t="shared" si="1497"/>
        <v>0</v>
      </c>
      <c r="U326" s="79">
        <f>K326-O326</f>
        <v>0</v>
      </c>
      <c r="V326" s="79">
        <f>L326-M326-S326</f>
        <v>0</v>
      </c>
      <c r="W326" s="79">
        <f>N326-Q326</f>
        <v>0</v>
      </c>
      <c r="X326" s="80">
        <f t="shared" ref="X326:Y326" si="1498">IF(O326&gt;0,O326/K326,0)</f>
        <v>0</v>
      </c>
      <c r="Y326" s="80">
        <f t="shared" si="1498"/>
        <v>0</v>
      </c>
      <c r="Z326" s="80">
        <f t="shared" si="1280"/>
        <v>0</v>
      </c>
      <c r="AA326" s="81"/>
      <c r="AB326" s="81"/>
      <c r="AC326" s="81"/>
      <c r="AD326" s="81"/>
      <c r="AE326" s="83"/>
      <c r="AF326" s="83"/>
      <c r="AG326" s="83"/>
      <c r="AH326" s="83"/>
      <c r="AI326" s="81"/>
      <c r="AJ326" s="81"/>
      <c r="AK326" s="81"/>
      <c r="AL326" s="81"/>
      <c r="AM326" s="81"/>
      <c r="AN326" s="81"/>
      <c r="AO326" s="81"/>
      <c r="AP326" s="81"/>
      <c r="AQ326" s="81"/>
      <c r="AR326" s="81"/>
      <c r="AS326" s="81"/>
      <c r="AT326" s="81"/>
      <c r="AU326" s="81"/>
      <c r="AV326" s="81"/>
      <c r="AW326" s="81"/>
      <c r="AX326" s="81"/>
      <c r="AY326" s="81"/>
      <c r="AZ326" s="81"/>
      <c r="BA326" s="81"/>
      <c r="BB326" s="81"/>
      <c r="BC326" s="81"/>
      <c r="BD326" s="81"/>
      <c r="BE326" s="81"/>
      <c r="BF326" s="81"/>
      <c r="BG326" s="81"/>
      <c r="BH326" s="81"/>
      <c r="BI326" s="81"/>
      <c r="BJ326" s="81"/>
      <c r="BK326" s="82">
        <v>0</v>
      </c>
      <c r="BL326" s="82">
        <v>0</v>
      </c>
      <c r="BM326" s="82">
        <v>0</v>
      </c>
      <c r="BN326" s="81">
        <f>IF(O326-BK326&gt;0,O326-BK326,0)</f>
        <v>0</v>
      </c>
      <c r="BO326" s="75">
        <f>IF(Q326-BM326&gt;0,Q326-BM326,0)</f>
        <v>0</v>
      </c>
      <c r="BP326" s="81">
        <f>IF(BN326+BO326&gt;0,BN326+BO326,0)</f>
        <v>0</v>
      </c>
      <c r="BQ326" s="81">
        <f>IF(U326=0,0,U326)</f>
        <v>0</v>
      </c>
      <c r="BR326" s="81">
        <f>IF(W326=0,0,W326)</f>
        <v>0</v>
      </c>
      <c r="BS326" s="81">
        <f>IF(BQ326+BR326&gt;0,BQ326+BR326,0)</f>
        <v>0</v>
      </c>
      <c r="BT326" s="81">
        <f>IF(V326&gt;0,V326,0)</f>
        <v>0</v>
      </c>
      <c r="BU326" s="81">
        <f>IF(BP326=0,0,BP326)</f>
        <v>0</v>
      </c>
      <c r="BV326" s="81">
        <f>IF(BS326=0,0,BS326)</f>
        <v>0</v>
      </c>
      <c r="BW326" s="81">
        <f>IF(BP326+BT326+BV326&gt;0,BP326+BT326+BV326,0)</f>
        <v>0</v>
      </c>
      <c r="BX326" s="1"/>
      <c r="BY326" s="1"/>
      <c r="BZ326" s="1"/>
      <c r="CA326" s="1"/>
      <c r="CB326" s="1"/>
      <c r="CC326" s="1"/>
      <c r="CD326" s="1"/>
      <c r="CE326" s="1"/>
      <c r="CF326" s="1"/>
      <c r="CG326" s="1"/>
    </row>
    <row r="327" spans="1:85" ht="15.75">
      <c r="A327" s="109"/>
      <c r="B327" s="110"/>
      <c r="C327" s="111"/>
      <c r="D327" s="112" t="s">
        <v>365</v>
      </c>
      <c r="E327" s="58">
        <f t="shared" ref="E327:H327" si="1499">SUM(E328:E329)</f>
        <v>0</v>
      </c>
      <c r="F327" s="58">
        <f t="shared" si="1499"/>
        <v>0</v>
      </c>
      <c r="G327" s="58">
        <f t="shared" si="1499"/>
        <v>0</v>
      </c>
      <c r="H327" s="58">
        <f t="shared" si="1499"/>
        <v>0</v>
      </c>
      <c r="I327" s="60">
        <f t="shared" si="1276"/>
        <v>0</v>
      </c>
      <c r="J327" s="60">
        <f t="shared" si="1277"/>
        <v>0</v>
      </c>
      <c r="K327" s="58">
        <f t="shared" ref="K327:W327" si="1500">SUM(K328:K329)</f>
        <v>0</v>
      </c>
      <c r="L327" s="58">
        <f t="shared" si="1500"/>
        <v>0</v>
      </c>
      <c r="M327" s="58">
        <f t="shared" si="1500"/>
        <v>0</v>
      </c>
      <c r="N327" s="58">
        <f t="shared" si="1500"/>
        <v>0</v>
      </c>
      <c r="O327" s="58">
        <f t="shared" si="1500"/>
        <v>0</v>
      </c>
      <c r="P327" s="58">
        <f t="shared" si="1500"/>
        <v>0</v>
      </c>
      <c r="Q327" s="58">
        <f t="shared" si="1500"/>
        <v>0</v>
      </c>
      <c r="R327" s="58">
        <f t="shared" si="1500"/>
        <v>0</v>
      </c>
      <c r="S327" s="58">
        <f t="shared" si="1500"/>
        <v>0</v>
      </c>
      <c r="T327" s="58">
        <f t="shared" si="1500"/>
        <v>0</v>
      </c>
      <c r="U327" s="58">
        <f t="shared" si="1500"/>
        <v>0</v>
      </c>
      <c r="V327" s="58">
        <f t="shared" si="1500"/>
        <v>0</v>
      </c>
      <c r="W327" s="58">
        <f t="shared" si="1500"/>
        <v>0</v>
      </c>
      <c r="X327" s="63">
        <f t="shared" ref="X327:Y327" si="1501">IF(O327&gt;0,O327/K327,0)</f>
        <v>0</v>
      </c>
      <c r="Y327" s="63">
        <f t="shared" si="1501"/>
        <v>0</v>
      </c>
      <c r="Z327" s="63">
        <f t="shared" si="1280"/>
        <v>0</v>
      </c>
      <c r="AA327" s="58">
        <f t="shared" ref="AA327:BW327" si="1502">SUM(AA328:AA329)</f>
        <v>0</v>
      </c>
      <c r="AB327" s="58">
        <f t="shared" si="1502"/>
        <v>0</v>
      </c>
      <c r="AC327" s="58">
        <f t="shared" si="1502"/>
        <v>0</v>
      </c>
      <c r="AD327" s="58">
        <f t="shared" si="1502"/>
        <v>0</v>
      </c>
      <c r="AE327" s="58">
        <f t="shared" si="1502"/>
        <v>0</v>
      </c>
      <c r="AF327" s="58">
        <f t="shared" si="1502"/>
        <v>0</v>
      </c>
      <c r="AG327" s="58">
        <f t="shared" si="1502"/>
        <v>0</v>
      </c>
      <c r="AH327" s="58">
        <f t="shared" si="1502"/>
        <v>0</v>
      </c>
      <c r="AI327" s="58">
        <f t="shared" si="1502"/>
        <v>0</v>
      </c>
      <c r="AJ327" s="58">
        <f t="shared" si="1502"/>
        <v>0</v>
      </c>
      <c r="AK327" s="58">
        <f t="shared" si="1502"/>
        <v>0</v>
      </c>
      <c r="AL327" s="58">
        <f t="shared" si="1502"/>
        <v>0</v>
      </c>
      <c r="AM327" s="58">
        <f t="shared" si="1502"/>
        <v>0</v>
      </c>
      <c r="AN327" s="58">
        <f t="shared" si="1502"/>
        <v>0</v>
      </c>
      <c r="AO327" s="58">
        <f t="shared" si="1502"/>
        <v>0</v>
      </c>
      <c r="AP327" s="58">
        <f t="shared" si="1502"/>
        <v>0</v>
      </c>
      <c r="AQ327" s="58">
        <f t="shared" si="1502"/>
        <v>0</v>
      </c>
      <c r="AR327" s="58">
        <f t="shared" si="1502"/>
        <v>0</v>
      </c>
      <c r="AS327" s="58">
        <f t="shared" si="1502"/>
        <v>0</v>
      </c>
      <c r="AT327" s="58">
        <f t="shared" si="1502"/>
        <v>0</v>
      </c>
      <c r="AU327" s="58">
        <f t="shared" si="1502"/>
        <v>0</v>
      </c>
      <c r="AV327" s="58">
        <f t="shared" si="1502"/>
        <v>0</v>
      </c>
      <c r="AW327" s="58">
        <f t="shared" si="1502"/>
        <v>0</v>
      </c>
      <c r="AX327" s="58">
        <f t="shared" si="1502"/>
        <v>0</v>
      </c>
      <c r="AY327" s="58">
        <f t="shared" si="1502"/>
        <v>0</v>
      </c>
      <c r="AZ327" s="58">
        <f t="shared" si="1502"/>
        <v>0</v>
      </c>
      <c r="BA327" s="58">
        <f t="shared" si="1502"/>
        <v>0</v>
      </c>
      <c r="BB327" s="58">
        <f t="shared" si="1502"/>
        <v>0</v>
      </c>
      <c r="BC327" s="58">
        <f t="shared" si="1502"/>
        <v>0</v>
      </c>
      <c r="BD327" s="58">
        <f t="shared" si="1502"/>
        <v>0</v>
      </c>
      <c r="BE327" s="58">
        <f t="shared" si="1502"/>
        <v>0</v>
      </c>
      <c r="BF327" s="58">
        <f t="shared" si="1502"/>
        <v>0</v>
      </c>
      <c r="BG327" s="58">
        <f t="shared" si="1502"/>
        <v>0</v>
      </c>
      <c r="BH327" s="58">
        <f t="shared" si="1502"/>
        <v>0</v>
      </c>
      <c r="BI327" s="58">
        <f t="shared" si="1502"/>
        <v>0</v>
      </c>
      <c r="BJ327" s="58">
        <f t="shared" si="1502"/>
        <v>0</v>
      </c>
      <c r="BK327" s="58">
        <f t="shared" si="1502"/>
        <v>0</v>
      </c>
      <c r="BL327" s="58">
        <f t="shared" si="1502"/>
        <v>0</v>
      </c>
      <c r="BM327" s="58">
        <f t="shared" si="1502"/>
        <v>0</v>
      </c>
      <c r="BN327" s="58">
        <f t="shared" si="1502"/>
        <v>0</v>
      </c>
      <c r="BO327" s="58">
        <f t="shared" si="1502"/>
        <v>0</v>
      </c>
      <c r="BP327" s="58">
        <f t="shared" si="1502"/>
        <v>0</v>
      </c>
      <c r="BQ327" s="58">
        <f t="shared" si="1502"/>
        <v>0</v>
      </c>
      <c r="BR327" s="58">
        <f t="shared" si="1502"/>
        <v>0</v>
      </c>
      <c r="BS327" s="58">
        <f t="shared" si="1502"/>
        <v>0</v>
      </c>
      <c r="BT327" s="58">
        <f t="shared" si="1502"/>
        <v>0</v>
      </c>
      <c r="BU327" s="58">
        <f t="shared" si="1502"/>
        <v>0</v>
      </c>
      <c r="BV327" s="58">
        <f t="shared" si="1502"/>
        <v>0</v>
      </c>
      <c r="BW327" s="58">
        <f t="shared" si="1502"/>
        <v>0</v>
      </c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</row>
    <row r="328" spans="1:85" ht="15.75" customHeight="1">
      <c r="A328" s="297"/>
      <c r="B328" s="321"/>
      <c r="C328" s="129"/>
      <c r="D328" s="126"/>
      <c r="E328" s="196"/>
      <c r="F328" s="322"/>
      <c r="G328" s="71"/>
      <c r="H328" s="70"/>
      <c r="I328" s="72"/>
      <c r="J328" s="72"/>
      <c r="K328" s="237"/>
      <c r="L328" s="83"/>
      <c r="M328" s="83"/>
      <c r="N328" s="266"/>
      <c r="O328" s="77"/>
      <c r="P328" s="77"/>
      <c r="Q328" s="77"/>
      <c r="R328" s="77"/>
      <c r="S328" s="77"/>
      <c r="T328" s="77"/>
      <c r="U328" s="79"/>
      <c r="V328" s="79"/>
      <c r="W328" s="78"/>
      <c r="X328" s="80"/>
      <c r="Y328" s="80"/>
      <c r="Z328" s="80"/>
      <c r="AA328" s="81"/>
      <c r="AB328" s="81"/>
      <c r="AC328" s="81"/>
      <c r="AD328" s="81"/>
      <c r="AE328" s="83"/>
      <c r="AF328" s="83"/>
      <c r="AG328" s="83"/>
      <c r="AH328" s="83"/>
      <c r="AI328" s="81"/>
      <c r="AJ328" s="81"/>
      <c r="AK328" s="81"/>
      <c r="AL328" s="81"/>
      <c r="AM328" s="81"/>
      <c r="AN328" s="81"/>
      <c r="AO328" s="81"/>
      <c r="AP328" s="81"/>
      <c r="AQ328" s="81"/>
      <c r="AR328" s="81"/>
      <c r="AS328" s="81"/>
      <c r="AT328" s="81"/>
      <c r="AU328" s="81"/>
      <c r="AV328" s="81"/>
      <c r="AW328" s="267"/>
      <c r="AX328" s="267"/>
      <c r="AY328" s="267"/>
      <c r="AZ328" s="267"/>
      <c r="BA328" s="267"/>
      <c r="BB328" s="267"/>
      <c r="BC328" s="267"/>
      <c r="BD328" s="267"/>
      <c r="BE328" s="267"/>
      <c r="BF328" s="267"/>
      <c r="BG328" s="267"/>
      <c r="BH328" s="267"/>
      <c r="BI328" s="267"/>
      <c r="BJ328" s="267"/>
      <c r="BK328" s="82">
        <v>0</v>
      </c>
      <c r="BL328" s="82">
        <v>0</v>
      </c>
      <c r="BM328" s="82">
        <v>0</v>
      </c>
      <c r="BN328" s="81">
        <f t="shared" ref="BN328:BN329" si="1503">IF(O328-BK328&gt;0,O328-BK328,0)</f>
        <v>0</v>
      </c>
      <c r="BO328" s="75">
        <f t="shared" ref="BO328:BO329" si="1504">IF(Q328-BM328&gt;0,Q328-BM328,0)</f>
        <v>0</v>
      </c>
      <c r="BP328" s="81">
        <f t="shared" ref="BP328:BP329" si="1505">IF(BN328+BO328&gt;0,BN328+BO328,0)</f>
        <v>0</v>
      </c>
      <c r="BQ328" s="81">
        <f t="shared" ref="BQ328:BQ329" si="1506">IF(U328=0,0,U328)</f>
        <v>0</v>
      </c>
      <c r="BR328" s="81">
        <f t="shared" ref="BR328:BR329" si="1507">IF(W328=0,0,W328)</f>
        <v>0</v>
      </c>
      <c r="BS328" s="81">
        <f t="shared" ref="BS328:BS329" si="1508">IF(BQ328+BR328&gt;0,BQ328+BR328,0)</f>
        <v>0</v>
      </c>
      <c r="BT328" s="81">
        <f t="shared" ref="BT328:BT329" si="1509">IF(V328&gt;0,V328,0)</f>
        <v>0</v>
      </c>
      <c r="BU328" s="81">
        <f t="shared" ref="BU328:BU329" si="1510">IF(BP328=0,0,BP328)</f>
        <v>0</v>
      </c>
      <c r="BV328" s="81">
        <f t="shared" ref="BV328:BV329" si="1511">IF(BS328=0,0,BS328)</f>
        <v>0</v>
      </c>
      <c r="BW328" s="81">
        <f t="shared" ref="BW328:BW329" si="1512">IF(BP328+BT328+BV328&gt;0,BP328+BT328+BV328,0)</f>
        <v>0</v>
      </c>
      <c r="BX328" s="1"/>
      <c r="BY328" s="1"/>
      <c r="BZ328" s="1"/>
      <c r="CA328" s="1"/>
      <c r="CB328" s="1"/>
      <c r="CC328" s="1"/>
      <c r="CD328" s="1"/>
      <c r="CE328" s="1"/>
      <c r="CF328" s="1"/>
      <c r="CG328" s="1"/>
    </row>
    <row r="329" spans="1:85" ht="15.75" customHeight="1">
      <c r="A329" s="297"/>
      <c r="B329" s="321"/>
      <c r="C329" s="129"/>
      <c r="D329" s="126"/>
      <c r="E329" s="196"/>
      <c r="F329" s="322"/>
      <c r="G329" s="71"/>
      <c r="H329" s="70"/>
      <c r="I329" s="72"/>
      <c r="J329" s="72"/>
      <c r="K329" s="237"/>
      <c r="L329" s="83"/>
      <c r="M329" s="83"/>
      <c r="N329" s="266"/>
      <c r="O329" s="77"/>
      <c r="P329" s="77"/>
      <c r="Q329" s="77"/>
      <c r="R329" s="77"/>
      <c r="S329" s="77"/>
      <c r="T329" s="77"/>
      <c r="U329" s="78"/>
      <c r="V329" s="79"/>
      <c r="W329" s="79"/>
      <c r="X329" s="80"/>
      <c r="Y329" s="80"/>
      <c r="Z329" s="80"/>
      <c r="AA329" s="81"/>
      <c r="AB329" s="81"/>
      <c r="AC329" s="81"/>
      <c r="AD329" s="81"/>
      <c r="AE329" s="83"/>
      <c r="AF329" s="83"/>
      <c r="AG329" s="83"/>
      <c r="AH329" s="83"/>
      <c r="AI329" s="81"/>
      <c r="AJ329" s="81"/>
      <c r="AK329" s="81"/>
      <c r="AL329" s="81"/>
      <c r="AM329" s="81"/>
      <c r="AN329" s="81"/>
      <c r="AO329" s="81"/>
      <c r="AP329" s="81"/>
      <c r="AQ329" s="81"/>
      <c r="AR329" s="81"/>
      <c r="AS329" s="81"/>
      <c r="AT329" s="81"/>
      <c r="AU329" s="81"/>
      <c r="AV329" s="81"/>
      <c r="AW329" s="267"/>
      <c r="AX329" s="267"/>
      <c r="AY329" s="267"/>
      <c r="AZ329" s="267"/>
      <c r="BA329" s="267"/>
      <c r="BB329" s="267"/>
      <c r="BC329" s="267"/>
      <c r="BD329" s="267"/>
      <c r="BE329" s="267"/>
      <c r="BF329" s="267"/>
      <c r="BG329" s="267"/>
      <c r="BH329" s="267"/>
      <c r="BI329" s="267"/>
      <c r="BJ329" s="267"/>
      <c r="BK329" s="82">
        <v>0</v>
      </c>
      <c r="BL329" s="82">
        <v>0</v>
      </c>
      <c r="BM329" s="82">
        <v>0</v>
      </c>
      <c r="BN329" s="81">
        <f t="shared" si="1503"/>
        <v>0</v>
      </c>
      <c r="BO329" s="75">
        <f t="shared" si="1504"/>
        <v>0</v>
      </c>
      <c r="BP329" s="81">
        <f t="shared" si="1505"/>
        <v>0</v>
      </c>
      <c r="BQ329" s="81">
        <f t="shared" si="1506"/>
        <v>0</v>
      </c>
      <c r="BR329" s="81">
        <f t="shared" si="1507"/>
        <v>0</v>
      </c>
      <c r="BS329" s="81">
        <f t="shared" si="1508"/>
        <v>0</v>
      </c>
      <c r="BT329" s="81">
        <f t="shared" si="1509"/>
        <v>0</v>
      </c>
      <c r="BU329" s="81">
        <f t="shared" si="1510"/>
        <v>0</v>
      </c>
      <c r="BV329" s="81">
        <f t="shared" si="1511"/>
        <v>0</v>
      </c>
      <c r="BW329" s="81">
        <f t="shared" si="1512"/>
        <v>0</v>
      </c>
      <c r="BX329" s="1"/>
      <c r="BY329" s="1"/>
      <c r="BZ329" s="1"/>
      <c r="CA329" s="1"/>
      <c r="CB329" s="1"/>
      <c r="CC329" s="1"/>
      <c r="CD329" s="1"/>
      <c r="CE329" s="1"/>
      <c r="CF329" s="1"/>
      <c r="CG329" s="1"/>
    </row>
    <row r="330" spans="1:85" ht="15.75" customHeight="1">
      <c r="A330" s="323"/>
      <c r="B330" s="101"/>
      <c r="C330" s="102"/>
      <c r="D330" s="103" t="s">
        <v>629</v>
      </c>
      <c r="E330" s="104">
        <f t="shared" ref="E330:H330" si="1513">E331+E334+E336</f>
        <v>46288.65</v>
      </c>
      <c r="F330" s="104">
        <f t="shared" si="1513"/>
        <v>5045.46</v>
      </c>
      <c r="G330" s="104">
        <f t="shared" si="1513"/>
        <v>41243.19</v>
      </c>
      <c r="H330" s="104">
        <f t="shared" si="1513"/>
        <v>0</v>
      </c>
      <c r="I330" s="105">
        <f t="shared" ref="I330:I372" si="1514">IF(G330&gt;0,K330/G330,0)</f>
        <v>1.0692674354238845</v>
      </c>
      <c r="J330" s="105">
        <f t="shared" ref="J330:J372" si="1515">IF(G330&gt;0,O330/G330,0)</f>
        <v>1.0692674354238845</v>
      </c>
      <c r="K330" s="104">
        <f t="shared" ref="K330:W330" si="1516">K331+K334+K336</f>
        <v>44100</v>
      </c>
      <c r="L330" s="104">
        <f t="shared" si="1516"/>
        <v>0</v>
      </c>
      <c r="M330" s="104">
        <f t="shared" si="1516"/>
        <v>0</v>
      </c>
      <c r="N330" s="104">
        <f t="shared" si="1516"/>
        <v>0</v>
      </c>
      <c r="O330" s="104">
        <f t="shared" si="1516"/>
        <v>44100</v>
      </c>
      <c r="P330" s="104">
        <f t="shared" si="1516"/>
        <v>0</v>
      </c>
      <c r="Q330" s="104">
        <f t="shared" si="1516"/>
        <v>0</v>
      </c>
      <c r="R330" s="104">
        <f t="shared" si="1516"/>
        <v>44100</v>
      </c>
      <c r="S330" s="104">
        <f t="shared" si="1516"/>
        <v>0</v>
      </c>
      <c r="T330" s="104">
        <f t="shared" si="1516"/>
        <v>0</v>
      </c>
      <c r="U330" s="104">
        <f t="shared" si="1516"/>
        <v>0</v>
      </c>
      <c r="V330" s="104">
        <f t="shared" si="1516"/>
        <v>0</v>
      </c>
      <c r="W330" s="104">
        <f t="shared" si="1516"/>
        <v>0</v>
      </c>
      <c r="X330" s="106">
        <f t="shared" ref="X330:Y330" si="1517">IF(O330&gt;0,O330/K330,0)</f>
        <v>1</v>
      </c>
      <c r="Y330" s="106">
        <f t="shared" si="1517"/>
        <v>0</v>
      </c>
      <c r="Z330" s="106">
        <f t="shared" ref="Z330:Z510" si="1518">IF(Q330&gt;0,Q330/N330,0)</f>
        <v>0</v>
      </c>
      <c r="AA330" s="104">
        <f t="shared" ref="AA330:BW330" si="1519">AA331+AA334+AA336</f>
        <v>0</v>
      </c>
      <c r="AB330" s="104">
        <f t="shared" si="1519"/>
        <v>0</v>
      </c>
      <c r="AC330" s="104">
        <f t="shared" si="1519"/>
        <v>0</v>
      </c>
      <c r="AD330" s="104">
        <f t="shared" si="1519"/>
        <v>0</v>
      </c>
      <c r="AE330" s="104">
        <f t="shared" si="1519"/>
        <v>0</v>
      </c>
      <c r="AF330" s="104">
        <f t="shared" si="1519"/>
        <v>0</v>
      </c>
      <c r="AG330" s="104">
        <f t="shared" si="1519"/>
        <v>0</v>
      </c>
      <c r="AH330" s="104">
        <f t="shared" si="1519"/>
        <v>0</v>
      </c>
      <c r="AI330" s="104">
        <f t="shared" si="1519"/>
        <v>0</v>
      </c>
      <c r="AJ330" s="104">
        <f t="shared" si="1519"/>
        <v>0</v>
      </c>
      <c r="AK330" s="104">
        <f t="shared" si="1519"/>
        <v>0</v>
      </c>
      <c r="AL330" s="104">
        <f t="shared" si="1519"/>
        <v>0</v>
      </c>
      <c r="AM330" s="104">
        <f t="shared" si="1519"/>
        <v>4200</v>
      </c>
      <c r="AN330" s="104">
        <f t="shared" si="1519"/>
        <v>0</v>
      </c>
      <c r="AO330" s="104">
        <f t="shared" si="1519"/>
        <v>0</v>
      </c>
      <c r="AP330" s="104">
        <f t="shared" si="1519"/>
        <v>4500</v>
      </c>
      <c r="AQ330" s="104">
        <f t="shared" si="1519"/>
        <v>0</v>
      </c>
      <c r="AR330" s="104">
        <f t="shared" si="1519"/>
        <v>0</v>
      </c>
      <c r="AS330" s="104">
        <f t="shared" si="1519"/>
        <v>0</v>
      </c>
      <c r="AT330" s="104">
        <f t="shared" si="1519"/>
        <v>0</v>
      </c>
      <c r="AU330" s="104">
        <f t="shared" si="1519"/>
        <v>0</v>
      </c>
      <c r="AV330" s="104">
        <f t="shared" si="1519"/>
        <v>9000</v>
      </c>
      <c r="AW330" s="104">
        <f t="shared" si="1519"/>
        <v>0</v>
      </c>
      <c r="AX330" s="104">
        <f t="shared" si="1519"/>
        <v>0</v>
      </c>
      <c r="AY330" s="104">
        <f t="shared" si="1519"/>
        <v>6600</v>
      </c>
      <c r="AZ330" s="104">
        <f t="shared" si="1519"/>
        <v>0</v>
      </c>
      <c r="BA330" s="104">
        <f t="shared" si="1519"/>
        <v>0</v>
      </c>
      <c r="BB330" s="104">
        <f t="shared" si="1519"/>
        <v>6600</v>
      </c>
      <c r="BC330" s="104">
        <f t="shared" si="1519"/>
        <v>0</v>
      </c>
      <c r="BD330" s="104">
        <f t="shared" si="1519"/>
        <v>0</v>
      </c>
      <c r="BE330" s="104">
        <f t="shared" si="1519"/>
        <v>13200</v>
      </c>
      <c r="BF330" s="104">
        <f t="shared" si="1519"/>
        <v>0</v>
      </c>
      <c r="BG330" s="104">
        <f t="shared" si="1519"/>
        <v>0</v>
      </c>
      <c r="BH330" s="104">
        <f t="shared" si="1519"/>
        <v>0</v>
      </c>
      <c r="BI330" s="104">
        <f t="shared" si="1519"/>
        <v>0</v>
      </c>
      <c r="BJ330" s="104">
        <f t="shared" si="1519"/>
        <v>0</v>
      </c>
      <c r="BK330" s="104">
        <f t="shared" si="1519"/>
        <v>44100</v>
      </c>
      <c r="BL330" s="104">
        <f t="shared" si="1519"/>
        <v>0</v>
      </c>
      <c r="BM330" s="104">
        <f t="shared" si="1519"/>
        <v>0</v>
      </c>
      <c r="BN330" s="104">
        <f t="shared" si="1519"/>
        <v>0</v>
      </c>
      <c r="BO330" s="104">
        <f t="shared" si="1519"/>
        <v>0</v>
      </c>
      <c r="BP330" s="104">
        <f t="shared" si="1519"/>
        <v>0</v>
      </c>
      <c r="BQ330" s="104">
        <f t="shared" si="1519"/>
        <v>0</v>
      </c>
      <c r="BR330" s="104">
        <f t="shared" si="1519"/>
        <v>0</v>
      </c>
      <c r="BS330" s="104">
        <f t="shared" si="1519"/>
        <v>0</v>
      </c>
      <c r="BT330" s="104">
        <f t="shared" si="1519"/>
        <v>0</v>
      </c>
      <c r="BU330" s="104">
        <f t="shared" si="1519"/>
        <v>0</v>
      </c>
      <c r="BV330" s="104">
        <f t="shared" si="1519"/>
        <v>0</v>
      </c>
      <c r="BW330" s="104">
        <f t="shared" si="1519"/>
        <v>0</v>
      </c>
      <c r="BX330" s="1"/>
      <c r="BY330" s="1"/>
      <c r="BZ330" s="1"/>
      <c r="CA330" s="1"/>
      <c r="CB330" s="1"/>
      <c r="CC330" s="1"/>
      <c r="CD330" s="1"/>
      <c r="CE330" s="1"/>
      <c r="CF330" s="1"/>
      <c r="CG330" s="1"/>
    </row>
    <row r="331" spans="1:85" ht="15.75">
      <c r="A331" s="109"/>
      <c r="B331" s="110"/>
      <c r="C331" s="111"/>
      <c r="D331" s="112" t="s">
        <v>116</v>
      </c>
      <c r="E331" s="58">
        <f t="shared" ref="E331:H331" si="1520">SUM(E332:E333)</f>
        <v>4288.6499999999996</v>
      </c>
      <c r="F331" s="59">
        <f t="shared" si="1520"/>
        <v>0</v>
      </c>
      <c r="G331" s="59">
        <f t="shared" si="1520"/>
        <v>4288.6499999999996</v>
      </c>
      <c r="H331" s="59">
        <f t="shared" si="1520"/>
        <v>0</v>
      </c>
      <c r="I331" s="60">
        <f t="shared" si="1514"/>
        <v>0</v>
      </c>
      <c r="J331" s="60">
        <f t="shared" si="1515"/>
        <v>0</v>
      </c>
      <c r="K331" s="59">
        <f t="shared" ref="K331:W331" si="1521">SUM(K332:K333)</f>
        <v>0</v>
      </c>
      <c r="L331" s="59">
        <f t="shared" si="1521"/>
        <v>0</v>
      </c>
      <c r="M331" s="59">
        <f t="shared" si="1521"/>
        <v>0</v>
      </c>
      <c r="N331" s="59">
        <f t="shared" si="1521"/>
        <v>0</v>
      </c>
      <c r="O331" s="59">
        <f t="shared" si="1521"/>
        <v>0</v>
      </c>
      <c r="P331" s="59">
        <f t="shared" si="1521"/>
        <v>0</v>
      </c>
      <c r="Q331" s="59">
        <f t="shared" si="1521"/>
        <v>0</v>
      </c>
      <c r="R331" s="59">
        <f t="shared" si="1521"/>
        <v>0</v>
      </c>
      <c r="S331" s="59">
        <f t="shared" si="1521"/>
        <v>0</v>
      </c>
      <c r="T331" s="59">
        <f t="shared" si="1521"/>
        <v>0</v>
      </c>
      <c r="U331" s="59">
        <f t="shared" si="1521"/>
        <v>0</v>
      </c>
      <c r="V331" s="59">
        <f t="shared" si="1521"/>
        <v>0</v>
      </c>
      <c r="W331" s="59">
        <f t="shared" si="1521"/>
        <v>0</v>
      </c>
      <c r="X331" s="63">
        <f t="shared" ref="X331:Y331" si="1522">IF(O331&gt;0,O331/K331,0)</f>
        <v>0</v>
      </c>
      <c r="Y331" s="63">
        <f t="shared" si="1522"/>
        <v>0</v>
      </c>
      <c r="Z331" s="63">
        <f t="shared" si="1518"/>
        <v>0</v>
      </c>
      <c r="AA331" s="59">
        <f t="shared" ref="AA331:BW331" si="1523">SUM(AA332:AA333)</f>
        <v>0</v>
      </c>
      <c r="AB331" s="59">
        <f t="shared" si="1523"/>
        <v>0</v>
      </c>
      <c r="AC331" s="59">
        <f t="shared" si="1523"/>
        <v>0</v>
      </c>
      <c r="AD331" s="59">
        <f t="shared" si="1523"/>
        <v>0</v>
      </c>
      <c r="AE331" s="59">
        <f t="shared" si="1523"/>
        <v>0</v>
      </c>
      <c r="AF331" s="59">
        <f t="shared" si="1523"/>
        <v>0</v>
      </c>
      <c r="AG331" s="59">
        <f t="shared" si="1523"/>
        <v>0</v>
      </c>
      <c r="AH331" s="59">
        <f t="shared" si="1523"/>
        <v>0</v>
      </c>
      <c r="AI331" s="59">
        <f t="shared" si="1523"/>
        <v>0</v>
      </c>
      <c r="AJ331" s="59">
        <f t="shared" si="1523"/>
        <v>0</v>
      </c>
      <c r="AK331" s="59">
        <f t="shared" si="1523"/>
        <v>0</v>
      </c>
      <c r="AL331" s="59">
        <f t="shared" si="1523"/>
        <v>0</v>
      </c>
      <c r="AM331" s="59">
        <f t="shared" si="1523"/>
        <v>0</v>
      </c>
      <c r="AN331" s="59">
        <f t="shared" si="1523"/>
        <v>0</v>
      </c>
      <c r="AO331" s="59">
        <f t="shared" si="1523"/>
        <v>0</v>
      </c>
      <c r="AP331" s="59">
        <f t="shared" si="1523"/>
        <v>0</v>
      </c>
      <c r="AQ331" s="59">
        <f t="shared" si="1523"/>
        <v>0</v>
      </c>
      <c r="AR331" s="59">
        <f t="shared" si="1523"/>
        <v>0</v>
      </c>
      <c r="AS331" s="59">
        <f t="shared" si="1523"/>
        <v>0</v>
      </c>
      <c r="AT331" s="59">
        <f t="shared" si="1523"/>
        <v>0</v>
      </c>
      <c r="AU331" s="59">
        <f t="shared" si="1523"/>
        <v>0</v>
      </c>
      <c r="AV331" s="59">
        <f t="shared" si="1523"/>
        <v>0</v>
      </c>
      <c r="AW331" s="59">
        <f t="shared" si="1523"/>
        <v>0</v>
      </c>
      <c r="AX331" s="59">
        <f t="shared" si="1523"/>
        <v>0</v>
      </c>
      <c r="AY331" s="59">
        <f t="shared" si="1523"/>
        <v>0</v>
      </c>
      <c r="AZ331" s="59">
        <f t="shared" si="1523"/>
        <v>0</v>
      </c>
      <c r="BA331" s="59">
        <f t="shared" si="1523"/>
        <v>0</v>
      </c>
      <c r="BB331" s="59">
        <f t="shared" si="1523"/>
        <v>0</v>
      </c>
      <c r="BC331" s="59">
        <f t="shared" si="1523"/>
        <v>0</v>
      </c>
      <c r="BD331" s="59">
        <f t="shared" si="1523"/>
        <v>0</v>
      </c>
      <c r="BE331" s="59">
        <f t="shared" si="1523"/>
        <v>0</v>
      </c>
      <c r="BF331" s="59">
        <f t="shared" si="1523"/>
        <v>0</v>
      </c>
      <c r="BG331" s="59">
        <f t="shared" si="1523"/>
        <v>0</v>
      </c>
      <c r="BH331" s="59">
        <f t="shared" si="1523"/>
        <v>0</v>
      </c>
      <c r="BI331" s="59">
        <f t="shared" si="1523"/>
        <v>0</v>
      </c>
      <c r="BJ331" s="59">
        <f t="shared" si="1523"/>
        <v>0</v>
      </c>
      <c r="BK331" s="59">
        <f t="shared" si="1523"/>
        <v>0</v>
      </c>
      <c r="BL331" s="59">
        <f t="shared" si="1523"/>
        <v>0</v>
      </c>
      <c r="BM331" s="59">
        <f t="shared" si="1523"/>
        <v>0</v>
      </c>
      <c r="BN331" s="59">
        <f t="shared" si="1523"/>
        <v>0</v>
      </c>
      <c r="BO331" s="59">
        <f t="shared" si="1523"/>
        <v>0</v>
      </c>
      <c r="BP331" s="59">
        <f t="shared" si="1523"/>
        <v>0</v>
      </c>
      <c r="BQ331" s="59">
        <f t="shared" si="1523"/>
        <v>0</v>
      </c>
      <c r="BR331" s="59">
        <f t="shared" si="1523"/>
        <v>0</v>
      </c>
      <c r="BS331" s="59">
        <f t="shared" si="1523"/>
        <v>0</v>
      </c>
      <c r="BT331" s="59">
        <f t="shared" si="1523"/>
        <v>0</v>
      </c>
      <c r="BU331" s="59">
        <f t="shared" si="1523"/>
        <v>0</v>
      </c>
      <c r="BV331" s="59">
        <f t="shared" si="1523"/>
        <v>0</v>
      </c>
      <c r="BW331" s="59">
        <f t="shared" si="1523"/>
        <v>0</v>
      </c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</row>
    <row r="332" spans="1:85" ht="15.75" customHeight="1">
      <c r="A332" s="84"/>
      <c r="B332" s="115"/>
      <c r="C332" s="86" t="s">
        <v>118</v>
      </c>
      <c r="D332" s="87" t="s">
        <v>630</v>
      </c>
      <c r="E332" s="70">
        <v>2288.65</v>
      </c>
      <c r="F332" s="93">
        <v>0</v>
      </c>
      <c r="G332" s="71">
        <f t="shared" ref="G332:G333" si="1524">E332-F332</f>
        <v>2288.65</v>
      </c>
      <c r="H332" s="70"/>
      <c r="I332" s="72">
        <f t="shared" si="1514"/>
        <v>0</v>
      </c>
      <c r="J332" s="72">
        <f t="shared" si="1515"/>
        <v>0</v>
      </c>
      <c r="K332" s="252"/>
      <c r="L332" s="74"/>
      <c r="M332" s="75"/>
      <c r="N332" s="76"/>
      <c r="O332" s="77">
        <f t="shared" ref="O332:Q332" si="1525">AA332+AD332+AG332+AJ332+AM332+AP332+AS332+AV332+AY332+BB332+BE332+BH332</f>
        <v>0</v>
      </c>
      <c r="P332" s="77">
        <f t="shared" si="1525"/>
        <v>0</v>
      </c>
      <c r="Q332" s="77">
        <f t="shared" si="1525"/>
        <v>0</v>
      </c>
      <c r="R332" s="77">
        <f t="shared" ref="R332:T332" si="1526">IF(BK332=0,SUM(AA332+AD332+AG332+AJ332+AM332+AP332+AS332+AV332+AY332+BB332+BE332+BH332),BK332)</f>
        <v>0</v>
      </c>
      <c r="S332" s="77">
        <f t="shared" si="1526"/>
        <v>0</v>
      </c>
      <c r="T332" s="77">
        <f t="shared" si="1526"/>
        <v>0</v>
      </c>
      <c r="U332" s="79">
        <f t="shared" ref="U332:U333" si="1527">K332-O332</f>
        <v>0</v>
      </c>
      <c r="V332" s="79">
        <f t="shared" ref="V332:V333" si="1528">L332-M332-S332</f>
        <v>0</v>
      </c>
      <c r="W332" s="79">
        <f t="shared" ref="W332:W333" si="1529">N332-Q332</f>
        <v>0</v>
      </c>
      <c r="X332" s="80">
        <f t="shared" ref="X332:Y332" si="1530">IF(O332&gt;0,O332/K332,0)</f>
        <v>0</v>
      </c>
      <c r="Y332" s="80">
        <f t="shared" si="1530"/>
        <v>0</v>
      </c>
      <c r="Z332" s="80">
        <f t="shared" si="1518"/>
        <v>0</v>
      </c>
      <c r="AA332" s="81"/>
      <c r="AB332" s="81"/>
      <c r="AC332" s="81"/>
      <c r="AD332" s="81"/>
      <c r="AE332" s="83"/>
      <c r="AF332" s="83"/>
      <c r="AG332" s="83"/>
      <c r="AH332" s="83"/>
      <c r="AI332" s="81"/>
      <c r="AJ332" s="81"/>
      <c r="AK332" s="81"/>
      <c r="AL332" s="81"/>
      <c r="AM332" s="81"/>
      <c r="AN332" s="81"/>
      <c r="AO332" s="81"/>
      <c r="AP332" s="81"/>
      <c r="AQ332" s="81"/>
      <c r="AR332" s="81"/>
      <c r="AS332" s="81"/>
      <c r="AT332" s="81"/>
      <c r="AU332" s="81"/>
      <c r="AV332" s="81"/>
      <c r="AW332" s="81"/>
      <c r="AX332" s="81"/>
      <c r="AY332" s="81"/>
      <c r="AZ332" s="81"/>
      <c r="BA332" s="81"/>
      <c r="BB332" s="81"/>
      <c r="BC332" s="81"/>
      <c r="BD332" s="81"/>
      <c r="BE332" s="81"/>
      <c r="BF332" s="81"/>
      <c r="BG332" s="81"/>
      <c r="BH332" s="81"/>
      <c r="BI332" s="81"/>
      <c r="BJ332" s="81"/>
      <c r="BK332" s="82">
        <v>0</v>
      </c>
      <c r="BL332" s="82">
        <v>0</v>
      </c>
      <c r="BM332" s="82">
        <v>0</v>
      </c>
      <c r="BN332" s="81">
        <f t="shared" ref="BN332:BN333" si="1531">IF(O332-BK332&gt;0,O332-BK332,0)</f>
        <v>0</v>
      </c>
      <c r="BO332" s="75">
        <f t="shared" ref="BO332:BO333" si="1532">IF(Q332-BM332&gt;0,Q332-BM332,0)</f>
        <v>0</v>
      </c>
      <c r="BP332" s="81">
        <f t="shared" ref="BP332:BP333" si="1533">IF(BN332+BO332&gt;0,BN332+BO332,0)</f>
        <v>0</v>
      </c>
      <c r="BQ332" s="81">
        <f t="shared" ref="BQ332:BQ333" si="1534">IF(U332=0,0,U332)</f>
        <v>0</v>
      </c>
      <c r="BR332" s="81">
        <f t="shared" ref="BR332:BR333" si="1535">IF(W332=0,0,W332)</f>
        <v>0</v>
      </c>
      <c r="BS332" s="81">
        <f t="shared" ref="BS332:BS333" si="1536">IF(BQ332+BR332&gt;0,BQ332+BR332,0)</f>
        <v>0</v>
      </c>
      <c r="BT332" s="81">
        <f t="shared" ref="BT332:BT333" si="1537">IF(V332&gt;0,V332,0)</f>
        <v>0</v>
      </c>
      <c r="BU332" s="81">
        <f t="shared" ref="BU332:BU333" si="1538">IF(BP332=0,0,BP332)</f>
        <v>0</v>
      </c>
      <c r="BV332" s="81">
        <f t="shared" ref="BV332:BV333" si="1539">IF(BS332=0,0,BS332)</f>
        <v>0</v>
      </c>
      <c r="BW332" s="81">
        <f t="shared" ref="BW332:BW333" si="1540">IF(BP332+BT332+BV332&gt;0,BP332+BT332+BV332,0)</f>
        <v>0</v>
      </c>
      <c r="BX332" s="1"/>
      <c r="BY332" s="1"/>
      <c r="BZ332" s="1"/>
      <c r="CA332" s="1"/>
      <c r="CB332" s="1"/>
      <c r="CC332" s="1"/>
      <c r="CD332" s="1"/>
      <c r="CE332" s="1"/>
      <c r="CF332" s="1"/>
      <c r="CG332" s="1"/>
    </row>
    <row r="333" spans="1:85" ht="15.75" customHeight="1">
      <c r="A333" s="84"/>
      <c r="B333" s="115"/>
      <c r="C333" s="86" t="s">
        <v>118</v>
      </c>
      <c r="D333" s="87" t="s">
        <v>631</v>
      </c>
      <c r="E333" s="70">
        <v>2000</v>
      </c>
      <c r="F333" s="71"/>
      <c r="G333" s="71">
        <f t="shared" si="1524"/>
        <v>2000</v>
      </c>
      <c r="H333" s="70"/>
      <c r="I333" s="72">
        <f t="shared" si="1514"/>
        <v>0</v>
      </c>
      <c r="J333" s="72">
        <f t="shared" si="1515"/>
        <v>0</v>
      </c>
      <c r="K333" s="88"/>
      <c r="L333" s="74"/>
      <c r="M333" s="75"/>
      <c r="N333" s="76"/>
      <c r="O333" s="77">
        <f t="shared" ref="O333:Q333" si="1541">AA333+AD333+AG333+AJ333+AM333+AP333+AS333+AV333+AY333+BB333+BE333+BH333</f>
        <v>0</v>
      </c>
      <c r="P333" s="77">
        <f t="shared" si="1541"/>
        <v>0</v>
      </c>
      <c r="Q333" s="77">
        <f t="shared" si="1541"/>
        <v>0</v>
      </c>
      <c r="R333" s="77">
        <f t="shared" ref="R333:T333" si="1542">IF(BK333=0,SUM(AA333+AD333+AG333+AJ333+AM333+AP333+AS333+AV333+AY333+BB333+BE333+BH333),BK333)</f>
        <v>0</v>
      </c>
      <c r="S333" s="77">
        <f t="shared" si="1542"/>
        <v>0</v>
      </c>
      <c r="T333" s="77">
        <f t="shared" si="1542"/>
        <v>0</v>
      </c>
      <c r="U333" s="79">
        <f t="shared" si="1527"/>
        <v>0</v>
      </c>
      <c r="V333" s="79">
        <f t="shared" si="1528"/>
        <v>0</v>
      </c>
      <c r="W333" s="79">
        <f t="shared" si="1529"/>
        <v>0</v>
      </c>
      <c r="X333" s="80">
        <f t="shared" ref="X333:Y333" si="1543">IF(O333&gt;0,O333/K333,0)</f>
        <v>0</v>
      </c>
      <c r="Y333" s="80">
        <f t="shared" si="1543"/>
        <v>0</v>
      </c>
      <c r="Z333" s="80">
        <f t="shared" si="1518"/>
        <v>0</v>
      </c>
      <c r="AA333" s="81"/>
      <c r="AB333" s="81"/>
      <c r="AC333" s="81"/>
      <c r="AD333" s="81"/>
      <c r="AE333" s="83"/>
      <c r="AF333" s="83"/>
      <c r="AG333" s="83"/>
      <c r="AH333" s="83"/>
      <c r="AI333" s="81"/>
      <c r="AJ333" s="81"/>
      <c r="AK333" s="81"/>
      <c r="AL333" s="81"/>
      <c r="AM333" s="81"/>
      <c r="AN333" s="81"/>
      <c r="AO333" s="81"/>
      <c r="AP333" s="81"/>
      <c r="AQ333" s="81"/>
      <c r="AR333" s="81"/>
      <c r="AS333" s="81"/>
      <c r="AT333" s="81"/>
      <c r="AU333" s="81"/>
      <c r="AV333" s="81"/>
      <c r="AW333" s="81"/>
      <c r="AX333" s="81"/>
      <c r="AY333" s="81"/>
      <c r="AZ333" s="81"/>
      <c r="BA333" s="81"/>
      <c r="BB333" s="81"/>
      <c r="BC333" s="81"/>
      <c r="BD333" s="81"/>
      <c r="BE333" s="81"/>
      <c r="BF333" s="81"/>
      <c r="BG333" s="81"/>
      <c r="BH333" s="81"/>
      <c r="BI333" s="81"/>
      <c r="BJ333" s="81"/>
      <c r="BK333" s="82">
        <v>0</v>
      </c>
      <c r="BL333" s="82">
        <v>0</v>
      </c>
      <c r="BM333" s="82">
        <v>0</v>
      </c>
      <c r="BN333" s="81">
        <f t="shared" si="1531"/>
        <v>0</v>
      </c>
      <c r="BO333" s="75">
        <f t="shared" si="1532"/>
        <v>0</v>
      </c>
      <c r="BP333" s="81">
        <f t="shared" si="1533"/>
        <v>0</v>
      </c>
      <c r="BQ333" s="81">
        <f t="shared" si="1534"/>
        <v>0</v>
      </c>
      <c r="BR333" s="81">
        <f t="shared" si="1535"/>
        <v>0</v>
      </c>
      <c r="BS333" s="81">
        <f t="shared" si="1536"/>
        <v>0</v>
      </c>
      <c r="BT333" s="81">
        <f t="shared" si="1537"/>
        <v>0</v>
      </c>
      <c r="BU333" s="81">
        <f t="shared" si="1538"/>
        <v>0</v>
      </c>
      <c r="BV333" s="81">
        <f t="shared" si="1539"/>
        <v>0</v>
      </c>
      <c r="BW333" s="81">
        <f t="shared" si="1540"/>
        <v>0</v>
      </c>
      <c r="BX333" s="1"/>
      <c r="BY333" s="1"/>
      <c r="BZ333" s="1"/>
      <c r="CA333" s="1"/>
      <c r="CB333" s="1"/>
      <c r="CC333" s="1"/>
      <c r="CD333" s="1"/>
      <c r="CE333" s="1"/>
      <c r="CF333" s="1"/>
      <c r="CG333" s="1"/>
    </row>
    <row r="334" spans="1:85" ht="15.75" customHeight="1">
      <c r="A334" s="109"/>
      <c r="B334" s="110"/>
      <c r="C334" s="111"/>
      <c r="D334" s="112" t="s">
        <v>632</v>
      </c>
      <c r="E334" s="58">
        <f t="shared" ref="E334:H334" si="1544">E335</f>
        <v>30000</v>
      </c>
      <c r="F334" s="59">
        <f t="shared" si="1544"/>
        <v>5045.46</v>
      </c>
      <c r="G334" s="59">
        <f t="shared" si="1544"/>
        <v>24954.54</v>
      </c>
      <c r="H334" s="59">
        <f t="shared" si="1544"/>
        <v>0</v>
      </c>
      <c r="I334" s="60">
        <f t="shared" si="1514"/>
        <v>1.7672135010302734</v>
      </c>
      <c r="J334" s="60">
        <f t="shared" si="1515"/>
        <v>1.7672135010302734</v>
      </c>
      <c r="K334" s="59">
        <f t="shared" ref="K334:W334" si="1545">K335</f>
        <v>44100</v>
      </c>
      <c r="L334" s="59">
        <f t="shared" si="1545"/>
        <v>0</v>
      </c>
      <c r="M334" s="59">
        <f t="shared" si="1545"/>
        <v>0</v>
      </c>
      <c r="N334" s="59">
        <f t="shared" si="1545"/>
        <v>0</v>
      </c>
      <c r="O334" s="59">
        <f t="shared" si="1545"/>
        <v>44100</v>
      </c>
      <c r="P334" s="59">
        <f t="shared" si="1545"/>
        <v>0</v>
      </c>
      <c r="Q334" s="59">
        <f t="shared" si="1545"/>
        <v>0</v>
      </c>
      <c r="R334" s="59">
        <f t="shared" si="1545"/>
        <v>44100</v>
      </c>
      <c r="S334" s="59">
        <f t="shared" si="1545"/>
        <v>0</v>
      </c>
      <c r="T334" s="59">
        <f t="shared" si="1545"/>
        <v>0</v>
      </c>
      <c r="U334" s="59">
        <f t="shared" si="1545"/>
        <v>0</v>
      </c>
      <c r="V334" s="59">
        <f t="shared" si="1545"/>
        <v>0</v>
      </c>
      <c r="W334" s="59">
        <f t="shared" si="1545"/>
        <v>0</v>
      </c>
      <c r="X334" s="63">
        <f t="shared" ref="X334:Y334" si="1546">IF(O334&gt;0,O334/K334,0)</f>
        <v>1</v>
      </c>
      <c r="Y334" s="63">
        <f t="shared" si="1546"/>
        <v>0</v>
      </c>
      <c r="Z334" s="63">
        <f t="shared" si="1518"/>
        <v>0</v>
      </c>
      <c r="AA334" s="59">
        <f t="shared" ref="AA334:BW334" si="1547">AA335</f>
        <v>0</v>
      </c>
      <c r="AB334" s="59">
        <f t="shared" si="1547"/>
        <v>0</v>
      </c>
      <c r="AC334" s="59">
        <f t="shared" si="1547"/>
        <v>0</v>
      </c>
      <c r="AD334" s="59">
        <f t="shared" si="1547"/>
        <v>0</v>
      </c>
      <c r="AE334" s="59">
        <f t="shared" si="1547"/>
        <v>0</v>
      </c>
      <c r="AF334" s="59">
        <f t="shared" si="1547"/>
        <v>0</v>
      </c>
      <c r="AG334" s="59">
        <f t="shared" si="1547"/>
        <v>0</v>
      </c>
      <c r="AH334" s="59">
        <f t="shared" si="1547"/>
        <v>0</v>
      </c>
      <c r="AI334" s="59">
        <f t="shared" si="1547"/>
        <v>0</v>
      </c>
      <c r="AJ334" s="59">
        <f t="shared" si="1547"/>
        <v>0</v>
      </c>
      <c r="AK334" s="59">
        <f t="shared" si="1547"/>
        <v>0</v>
      </c>
      <c r="AL334" s="59">
        <f t="shared" si="1547"/>
        <v>0</v>
      </c>
      <c r="AM334" s="59">
        <f t="shared" si="1547"/>
        <v>4200</v>
      </c>
      <c r="AN334" s="59">
        <f t="shared" si="1547"/>
        <v>0</v>
      </c>
      <c r="AO334" s="59">
        <f t="shared" si="1547"/>
        <v>0</v>
      </c>
      <c r="AP334" s="59">
        <f t="shared" si="1547"/>
        <v>4500</v>
      </c>
      <c r="AQ334" s="59">
        <f t="shared" si="1547"/>
        <v>0</v>
      </c>
      <c r="AR334" s="59">
        <f t="shared" si="1547"/>
        <v>0</v>
      </c>
      <c r="AS334" s="59">
        <f t="shared" si="1547"/>
        <v>0</v>
      </c>
      <c r="AT334" s="59">
        <f t="shared" si="1547"/>
        <v>0</v>
      </c>
      <c r="AU334" s="59">
        <f t="shared" si="1547"/>
        <v>0</v>
      </c>
      <c r="AV334" s="59">
        <f t="shared" si="1547"/>
        <v>9000</v>
      </c>
      <c r="AW334" s="59">
        <f t="shared" si="1547"/>
        <v>0</v>
      </c>
      <c r="AX334" s="59">
        <f t="shared" si="1547"/>
        <v>0</v>
      </c>
      <c r="AY334" s="59">
        <f t="shared" si="1547"/>
        <v>6600</v>
      </c>
      <c r="AZ334" s="59">
        <f t="shared" si="1547"/>
        <v>0</v>
      </c>
      <c r="BA334" s="59">
        <f t="shared" si="1547"/>
        <v>0</v>
      </c>
      <c r="BB334" s="59">
        <f t="shared" si="1547"/>
        <v>6600</v>
      </c>
      <c r="BC334" s="59">
        <f t="shared" si="1547"/>
        <v>0</v>
      </c>
      <c r="BD334" s="59">
        <f t="shared" si="1547"/>
        <v>0</v>
      </c>
      <c r="BE334" s="59">
        <f t="shared" si="1547"/>
        <v>13200</v>
      </c>
      <c r="BF334" s="59">
        <f t="shared" si="1547"/>
        <v>0</v>
      </c>
      <c r="BG334" s="59">
        <f t="shared" si="1547"/>
        <v>0</v>
      </c>
      <c r="BH334" s="59">
        <f t="shared" si="1547"/>
        <v>0</v>
      </c>
      <c r="BI334" s="59">
        <f t="shared" si="1547"/>
        <v>0</v>
      </c>
      <c r="BJ334" s="59">
        <f t="shared" si="1547"/>
        <v>0</v>
      </c>
      <c r="BK334" s="59">
        <f t="shared" si="1547"/>
        <v>44100</v>
      </c>
      <c r="BL334" s="59">
        <f t="shared" si="1547"/>
        <v>0</v>
      </c>
      <c r="BM334" s="59">
        <f t="shared" si="1547"/>
        <v>0</v>
      </c>
      <c r="BN334" s="59">
        <f t="shared" si="1547"/>
        <v>0</v>
      </c>
      <c r="BO334" s="59">
        <f t="shared" si="1547"/>
        <v>0</v>
      </c>
      <c r="BP334" s="59">
        <f t="shared" si="1547"/>
        <v>0</v>
      </c>
      <c r="BQ334" s="59">
        <f t="shared" si="1547"/>
        <v>0</v>
      </c>
      <c r="BR334" s="59">
        <f t="shared" si="1547"/>
        <v>0</v>
      </c>
      <c r="BS334" s="59">
        <f t="shared" si="1547"/>
        <v>0</v>
      </c>
      <c r="BT334" s="59">
        <f t="shared" si="1547"/>
        <v>0</v>
      </c>
      <c r="BU334" s="59">
        <f t="shared" si="1547"/>
        <v>0</v>
      </c>
      <c r="BV334" s="59">
        <f t="shared" si="1547"/>
        <v>0</v>
      </c>
      <c r="BW334" s="59">
        <f t="shared" si="1547"/>
        <v>0</v>
      </c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</row>
    <row r="335" spans="1:85" ht="15.75" customHeight="1">
      <c r="A335" s="125" t="s">
        <v>633</v>
      </c>
      <c r="B335" s="115"/>
      <c r="C335" s="86" t="s">
        <v>448</v>
      </c>
      <c r="D335" s="149" t="s">
        <v>634</v>
      </c>
      <c r="E335" s="70">
        <v>30000</v>
      </c>
      <c r="F335" s="127">
        <v>5045.46</v>
      </c>
      <c r="G335" s="71">
        <f>E335-F335</f>
        <v>24954.54</v>
      </c>
      <c r="H335" s="70"/>
      <c r="I335" s="72">
        <f t="shared" si="1514"/>
        <v>1.7672135010302734</v>
      </c>
      <c r="J335" s="72">
        <f t="shared" si="1515"/>
        <v>1.7672135010302734</v>
      </c>
      <c r="K335" s="73">
        <f>46000-10300+8400</f>
        <v>44100</v>
      </c>
      <c r="L335" s="74"/>
      <c r="M335" s="75"/>
      <c r="N335" s="76"/>
      <c r="O335" s="77">
        <f t="shared" ref="O335:Q335" si="1548">AA335+AD335+AG335+AJ335+AM335+AP335+AS335+AV335+AY335+BB335+BE335+BH335</f>
        <v>44100</v>
      </c>
      <c r="P335" s="77">
        <f t="shared" si="1548"/>
        <v>0</v>
      </c>
      <c r="Q335" s="77">
        <f t="shared" si="1548"/>
        <v>0</v>
      </c>
      <c r="R335" s="77">
        <f t="shared" ref="R335:T335" si="1549">IF(BK335=0,SUM(AA335+AD335+AG335+AJ335+AM335+AP335+AS335+AV335+AY335+BB335+BE335+BH335),BK335)</f>
        <v>44100</v>
      </c>
      <c r="S335" s="77">
        <f t="shared" si="1549"/>
        <v>0</v>
      </c>
      <c r="T335" s="77">
        <f t="shared" si="1549"/>
        <v>0</v>
      </c>
      <c r="U335" s="78">
        <f>K335-O335</f>
        <v>0</v>
      </c>
      <c r="V335" s="79">
        <f>L335-M335-S335</f>
        <v>0</v>
      </c>
      <c r="W335" s="79">
        <f>N335-Q335</f>
        <v>0</v>
      </c>
      <c r="X335" s="80">
        <f t="shared" ref="X335:Y335" si="1550">IF(O335&gt;0,O335/K335,0)</f>
        <v>1</v>
      </c>
      <c r="Y335" s="80">
        <f t="shared" si="1550"/>
        <v>0</v>
      </c>
      <c r="Z335" s="80">
        <f t="shared" si="1518"/>
        <v>0</v>
      </c>
      <c r="AA335" s="81"/>
      <c r="AB335" s="81"/>
      <c r="AC335" s="81"/>
      <c r="AD335" s="81"/>
      <c r="AE335" s="83"/>
      <c r="AF335" s="83"/>
      <c r="AG335" s="83"/>
      <c r="AH335" s="83"/>
      <c r="AI335" s="81"/>
      <c r="AJ335" s="81"/>
      <c r="AK335" s="81"/>
      <c r="AL335" s="81"/>
      <c r="AM335" s="82">
        <v>4200</v>
      </c>
      <c r="AN335" s="81"/>
      <c r="AO335" s="81"/>
      <c r="AP335" s="82">
        <v>4500</v>
      </c>
      <c r="AQ335" s="81"/>
      <c r="AR335" s="81"/>
      <c r="AS335" s="81"/>
      <c r="AT335" s="81"/>
      <c r="AU335" s="81"/>
      <c r="AV335" s="81">
        <f>4500+4500</f>
        <v>9000</v>
      </c>
      <c r="AW335" s="81"/>
      <c r="AX335" s="81"/>
      <c r="AY335" s="81">
        <f>6600</f>
        <v>6600</v>
      </c>
      <c r="AZ335" s="81"/>
      <c r="BA335" s="81"/>
      <c r="BB335" s="81">
        <f>6600</f>
        <v>6600</v>
      </c>
      <c r="BC335" s="81"/>
      <c r="BD335" s="81"/>
      <c r="BE335" s="81">
        <f>6600+6600</f>
        <v>13200</v>
      </c>
      <c r="BF335" s="81"/>
      <c r="BG335" s="81"/>
      <c r="BH335" s="81"/>
      <c r="BI335" s="81"/>
      <c r="BJ335" s="81"/>
      <c r="BK335" s="82">
        <v>44100</v>
      </c>
      <c r="BL335" s="82">
        <v>0</v>
      </c>
      <c r="BM335" s="82">
        <v>0</v>
      </c>
      <c r="BN335" s="81">
        <f>IF(O335-BK335&gt;0,O335-BK335,0)</f>
        <v>0</v>
      </c>
      <c r="BO335" s="75">
        <f>IF(Q335-BM335&gt;0,Q335-BM335,0)</f>
        <v>0</v>
      </c>
      <c r="BP335" s="81">
        <f>IF(BN335+BO335&gt;0,BN335+BO335,0)</f>
        <v>0</v>
      </c>
      <c r="BQ335" s="81">
        <f>IF(U335=0,0,U335)</f>
        <v>0</v>
      </c>
      <c r="BR335" s="81">
        <f>IF(W335=0,0,W335)</f>
        <v>0</v>
      </c>
      <c r="BS335" s="81">
        <f>IF(BQ335+BR335&gt;0,BQ335+BR335,0)</f>
        <v>0</v>
      </c>
      <c r="BT335" s="81">
        <f>IF(V335&gt;0,V335,0)</f>
        <v>0</v>
      </c>
      <c r="BU335" s="81">
        <f>IF(BP335=0,0,BP335)</f>
        <v>0</v>
      </c>
      <c r="BV335" s="81">
        <f>IF(BS335=0,0,BS335)</f>
        <v>0</v>
      </c>
      <c r="BW335" s="81">
        <f>IF(BP335+BT335+BV335&gt;0,BP335+BT335+BV335,0)</f>
        <v>0</v>
      </c>
      <c r="BX335" s="1"/>
      <c r="BY335" s="1"/>
      <c r="BZ335" s="1"/>
      <c r="CA335" s="1"/>
      <c r="CB335" s="1"/>
      <c r="CC335" s="1"/>
      <c r="CD335" s="1"/>
      <c r="CE335" s="1"/>
      <c r="CF335" s="1"/>
      <c r="CG335" s="1"/>
    </row>
    <row r="336" spans="1:85" ht="15.75" customHeight="1">
      <c r="A336" s="109"/>
      <c r="B336" s="110"/>
      <c r="C336" s="111"/>
      <c r="D336" s="112" t="s">
        <v>251</v>
      </c>
      <c r="E336" s="58">
        <f t="shared" ref="E336:H336" si="1551">E337</f>
        <v>12000</v>
      </c>
      <c r="F336" s="59">
        <f t="shared" si="1551"/>
        <v>0</v>
      </c>
      <c r="G336" s="59">
        <f t="shared" si="1551"/>
        <v>12000</v>
      </c>
      <c r="H336" s="59">
        <f t="shared" si="1551"/>
        <v>0</v>
      </c>
      <c r="I336" s="60">
        <f t="shared" si="1514"/>
        <v>0</v>
      </c>
      <c r="J336" s="60">
        <f t="shared" si="1515"/>
        <v>0</v>
      </c>
      <c r="K336" s="59">
        <f t="shared" ref="K336:W336" si="1552">K337</f>
        <v>0</v>
      </c>
      <c r="L336" s="59">
        <f t="shared" si="1552"/>
        <v>0</v>
      </c>
      <c r="M336" s="59">
        <f t="shared" si="1552"/>
        <v>0</v>
      </c>
      <c r="N336" s="59">
        <f t="shared" si="1552"/>
        <v>0</v>
      </c>
      <c r="O336" s="59">
        <f t="shared" si="1552"/>
        <v>0</v>
      </c>
      <c r="P336" s="59">
        <f t="shared" si="1552"/>
        <v>0</v>
      </c>
      <c r="Q336" s="59">
        <f t="shared" si="1552"/>
        <v>0</v>
      </c>
      <c r="R336" s="59">
        <f t="shared" si="1552"/>
        <v>0</v>
      </c>
      <c r="S336" s="59">
        <f t="shared" si="1552"/>
        <v>0</v>
      </c>
      <c r="T336" s="59">
        <f t="shared" si="1552"/>
        <v>0</v>
      </c>
      <c r="U336" s="59">
        <f t="shared" si="1552"/>
        <v>0</v>
      </c>
      <c r="V336" s="59">
        <f t="shared" si="1552"/>
        <v>0</v>
      </c>
      <c r="W336" s="59">
        <f t="shared" si="1552"/>
        <v>0</v>
      </c>
      <c r="X336" s="63">
        <f t="shared" ref="X336:Y336" si="1553">IF(O336&gt;0,O336/K336,0)</f>
        <v>0</v>
      </c>
      <c r="Y336" s="63">
        <f t="shared" si="1553"/>
        <v>0</v>
      </c>
      <c r="Z336" s="63">
        <f t="shared" si="1518"/>
        <v>0</v>
      </c>
      <c r="AA336" s="59">
        <f t="shared" ref="AA336:BW336" si="1554">AA337</f>
        <v>0</v>
      </c>
      <c r="AB336" s="59">
        <f t="shared" si="1554"/>
        <v>0</v>
      </c>
      <c r="AC336" s="59">
        <f t="shared" si="1554"/>
        <v>0</v>
      </c>
      <c r="AD336" s="59">
        <f t="shared" si="1554"/>
        <v>0</v>
      </c>
      <c r="AE336" s="59">
        <f t="shared" si="1554"/>
        <v>0</v>
      </c>
      <c r="AF336" s="59">
        <f t="shared" si="1554"/>
        <v>0</v>
      </c>
      <c r="AG336" s="59">
        <f t="shared" si="1554"/>
        <v>0</v>
      </c>
      <c r="AH336" s="59">
        <f t="shared" si="1554"/>
        <v>0</v>
      </c>
      <c r="AI336" s="59">
        <f t="shared" si="1554"/>
        <v>0</v>
      </c>
      <c r="AJ336" s="59">
        <f t="shared" si="1554"/>
        <v>0</v>
      </c>
      <c r="AK336" s="59">
        <f t="shared" si="1554"/>
        <v>0</v>
      </c>
      <c r="AL336" s="59">
        <f t="shared" si="1554"/>
        <v>0</v>
      </c>
      <c r="AM336" s="59">
        <f t="shared" si="1554"/>
        <v>0</v>
      </c>
      <c r="AN336" s="59">
        <f t="shared" si="1554"/>
        <v>0</v>
      </c>
      <c r="AO336" s="59">
        <f t="shared" si="1554"/>
        <v>0</v>
      </c>
      <c r="AP336" s="59">
        <f t="shared" si="1554"/>
        <v>0</v>
      </c>
      <c r="AQ336" s="59">
        <f t="shared" si="1554"/>
        <v>0</v>
      </c>
      <c r="AR336" s="59">
        <f t="shared" si="1554"/>
        <v>0</v>
      </c>
      <c r="AS336" s="59">
        <f t="shared" si="1554"/>
        <v>0</v>
      </c>
      <c r="AT336" s="59">
        <f t="shared" si="1554"/>
        <v>0</v>
      </c>
      <c r="AU336" s="59">
        <f t="shared" si="1554"/>
        <v>0</v>
      </c>
      <c r="AV336" s="59">
        <f t="shared" si="1554"/>
        <v>0</v>
      </c>
      <c r="AW336" s="59">
        <f t="shared" si="1554"/>
        <v>0</v>
      </c>
      <c r="AX336" s="59">
        <f t="shared" si="1554"/>
        <v>0</v>
      </c>
      <c r="AY336" s="59">
        <f t="shared" si="1554"/>
        <v>0</v>
      </c>
      <c r="AZ336" s="59">
        <f t="shared" si="1554"/>
        <v>0</v>
      </c>
      <c r="BA336" s="59">
        <f t="shared" si="1554"/>
        <v>0</v>
      </c>
      <c r="BB336" s="59">
        <f t="shared" si="1554"/>
        <v>0</v>
      </c>
      <c r="BC336" s="59">
        <f t="shared" si="1554"/>
        <v>0</v>
      </c>
      <c r="BD336" s="59">
        <f t="shared" si="1554"/>
        <v>0</v>
      </c>
      <c r="BE336" s="59">
        <f t="shared" si="1554"/>
        <v>0</v>
      </c>
      <c r="BF336" s="59">
        <f t="shared" si="1554"/>
        <v>0</v>
      </c>
      <c r="BG336" s="59">
        <f t="shared" si="1554"/>
        <v>0</v>
      </c>
      <c r="BH336" s="59">
        <f t="shared" si="1554"/>
        <v>0</v>
      </c>
      <c r="BI336" s="59">
        <f t="shared" si="1554"/>
        <v>0</v>
      </c>
      <c r="BJ336" s="59">
        <f t="shared" si="1554"/>
        <v>0</v>
      </c>
      <c r="BK336" s="59">
        <f t="shared" si="1554"/>
        <v>0</v>
      </c>
      <c r="BL336" s="59">
        <f t="shared" si="1554"/>
        <v>0</v>
      </c>
      <c r="BM336" s="59">
        <f t="shared" si="1554"/>
        <v>0</v>
      </c>
      <c r="BN336" s="59">
        <f t="shared" si="1554"/>
        <v>0</v>
      </c>
      <c r="BO336" s="59">
        <f t="shared" si="1554"/>
        <v>0</v>
      </c>
      <c r="BP336" s="59">
        <f t="shared" si="1554"/>
        <v>0</v>
      </c>
      <c r="BQ336" s="59">
        <f t="shared" si="1554"/>
        <v>0</v>
      </c>
      <c r="BR336" s="59">
        <f t="shared" si="1554"/>
        <v>0</v>
      </c>
      <c r="BS336" s="59">
        <f t="shared" si="1554"/>
        <v>0</v>
      </c>
      <c r="BT336" s="59">
        <f t="shared" si="1554"/>
        <v>0</v>
      </c>
      <c r="BU336" s="59">
        <f t="shared" si="1554"/>
        <v>0</v>
      </c>
      <c r="BV336" s="59">
        <f t="shared" si="1554"/>
        <v>0</v>
      </c>
      <c r="BW336" s="59">
        <f t="shared" si="1554"/>
        <v>0</v>
      </c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</row>
    <row r="337" spans="1:85" ht="15.75" customHeight="1">
      <c r="A337" s="108"/>
      <c r="B337" s="90"/>
      <c r="C337" s="91" t="s">
        <v>420</v>
      </c>
      <c r="D337" s="324" t="s">
        <v>635</v>
      </c>
      <c r="E337" s="70">
        <v>12000</v>
      </c>
      <c r="F337" s="71">
        <v>0</v>
      </c>
      <c r="G337" s="71">
        <f>E337-F337</f>
        <v>12000</v>
      </c>
      <c r="H337" s="70"/>
      <c r="I337" s="72">
        <f t="shared" si="1514"/>
        <v>0</v>
      </c>
      <c r="J337" s="72">
        <f t="shared" si="1515"/>
        <v>0</v>
      </c>
      <c r="K337" s="88"/>
      <c r="L337" s="74"/>
      <c r="M337" s="75"/>
      <c r="N337" s="76"/>
      <c r="O337" s="77">
        <f t="shared" ref="O337:Q337" si="1555">AA337+AD337+AG337+AJ337+AM337+AP337+AS337+AV337+AY337+BB337+BE337+BH337</f>
        <v>0</v>
      </c>
      <c r="P337" s="77">
        <f t="shared" si="1555"/>
        <v>0</v>
      </c>
      <c r="Q337" s="77">
        <f t="shared" si="1555"/>
        <v>0</v>
      </c>
      <c r="R337" s="77">
        <f t="shared" ref="R337:T337" si="1556">IF(BK337=0,SUM(AA337+AD337+AG337+AJ337+AM337+AP337+AS337+AV337+AY337+BB337+BE337+BH337),BK337)</f>
        <v>0</v>
      </c>
      <c r="S337" s="77">
        <f t="shared" si="1556"/>
        <v>0</v>
      </c>
      <c r="T337" s="77">
        <f t="shared" si="1556"/>
        <v>0</v>
      </c>
      <c r="U337" s="79">
        <f>K337-O337</f>
        <v>0</v>
      </c>
      <c r="V337" s="79">
        <f>L337-M337-S337</f>
        <v>0</v>
      </c>
      <c r="W337" s="79">
        <f>N337-Q337</f>
        <v>0</v>
      </c>
      <c r="X337" s="80">
        <f t="shared" ref="X337:Y337" si="1557">IF(O337&gt;0,O337/K337,0)</f>
        <v>0</v>
      </c>
      <c r="Y337" s="80">
        <f t="shared" si="1557"/>
        <v>0</v>
      </c>
      <c r="Z337" s="80">
        <f t="shared" si="1518"/>
        <v>0</v>
      </c>
      <c r="AA337" s="81"/>
      <c r="AB337" s="81"/>
      <c r="AC337" s="81"/>
      <c r="AD337" s="81"/>
      <c r="AE337" s="83"/>
      <c r="AF337" s="83"/>
      <c r="AG337" s="83"/>
      <c r="AH337" s="83"/>
      <c r="AI337" s="81"/>
      <c r="AJ337" s="81"/>
      <c r="AK337" s="81"/>
      <c r="AL337" s="81"/>
      <c r="AM337" s="81"/>
      <c r="AN337" s="81"/>
      <c r="AO337" s="81"/>
      <c r="AP337" s="81"/>
      <c r="AQ337" s="81"/>
      <c r="AR337" s="81"/>
      <c r="AS337" s="81"/>
      <c r="AT337" s="81"/>
      <c r="AU337" s="81"/>
      <c r="AV337" s="81"/>
      <c r="AW337" s="81"/>
      <c r="AX337" s="81"/>
      <c r="AY337" s="81"/>
      <c r="AZ337" s="81"/>
      <c r="BA337" s="81"/>
      <c r="BB337" s="81"/>
      <c r="BC337" s="81"/>
      <c r="BD337" s="81"/>
      <c r="BE337" s="81"/>
      <c r="BF337" s="81"/>
      <c r="BG337" s="81"/>
      <c r="BH337" s="81"/>
      <c r="BI337" s="81"/>
      <c r="BJ337" s="81"/>
      <c r="BK337" s="82">
        <v>0</v>
      </c>
      <c r="BL337" s="82">
        <v>0</v>
      </c>
      <c r="BM337" s="82">
        <v>0</v>
      </c>
      <c r="BN337" s="81">
        <f>IF(O337-BK337&gt;0,O337-BK337,0)</f>
        <v>0</v>
      </c>
      <c r="BO337" s="75">
        <f>IF(Q337-BM337&gt;0,Q337-BM337,0)</f>
        <v>0</v>
      </c>
      <c r="BP337" s="81">
        <f>IF(BN337+BO337&gt;0,BN337+BO337,0)</f>
        <v>0</v>
      </c>
      <c r="BQ337" s="81">
        <f>IF(U337=0,0,U337)</f>
        <v>0</v>
      </c>
      <c r="BR337" s="81">
        <f>IF(W337=0,0,W337)</f>
        <v>0</v>
      </c>
      <c r="BS337" s="81">
        <f>IF(BQ337+BR337&gt;0,BQ337+BR337,0)</f>
        <v>0</v>
      </c>
      <c r="BT337" s="81">
        <f>IF(V337&gt;0,V337,0)</f>
        <v>0</v>
      </c>
      <c r="BU337" s="81">
        <f>IF(BP337=0,0,BP337)</f>
        <v>0</v>
      </c>
      <c r="BV337" s="81">
        <f>IF(BS337=0,0,BS337)</f>
        <v>0</v>
      </c>
      <c r="BW337" s="81">
        <f>IF(BP337+BT337+BV337&gt;0,BP337+BT337+BV337,0)</f>
        <v>0</v>
      </c>
      <c r="BX337" s="1"/>
      <c r="BY337" s="1"/>
      <c r="BZ337" s="1"/>
      <c r="CA337" s="1"/>
      <c r="CB337" s="1"/>
      <c r="CC337" s="1"/>
      <c r="CD337" s="1"/>
      <c r="CE337" s="1"/>
      <c r="CF337" s="1"/>
      <c r="CG337" s="1"/>
    </row>
    <row r="338" spans="1:85" ht="15.75" customHeight="1">
      <c r="A338" s="325"/>
      <c r="B338" s="248"/>
      <c r="C338" s="249"/>
      <c r="D338" s="250" t="s">
        <v>636</v>
      </c>
      <c r="E338" s="104">
        <f t="shared" ref="E338:H338" si="1558">E339+E358+E371+E424</f>
        <v>311443.26</v>
      </c>
      <c r="F338" s="104">
        <f t="shared" si="1558"/>
        <v>25227.3</v>
      </c>
      <c r="G338" s="104">
        <f t="shared" si="1558"/>
        <v>286215.95999999996</v>
      </c>
      <c r="H338" s="104">
        <f t="shared" si="1558"/>
        <v>2959944.87</v>
      </c>
      <c r="I338" s="105">
        <f t="shared" si="1514"/>
        <v>4.007463455217522E-2</v>
      </c>
      <c r="J338" s="105">
        <f t="shared" si="1515"/>
        <v>4.007463455217522E-2</v>
      </c>
      <c r="K338" s="104">
        <f t="shared" ref="K338:W338" si="1559">K339+K358+K371+K424</f>
        <v>11470</v>
      </c>
      <c r="L338" s="104">
        <f t="shared" si="1559"/>
        <v>1636010.06</v>
      </c>
      <c r="M338" s="104">
        <f t="shared" si="1559"/>
        <v>60891.59</v>
      </c>
      <c r="N338" s="104">
        <f t="shared" si="1559"/>
        <v>2953650.4800000004</v>
      </c>
      <c r="O338" s="104">
        <f t="shared" si="1559"/>
        <v>11470</v>
      </c>
      <c r="P338" s="104">
        <f t="shared" si="1559"/>
        <v>1566452.45</v>
      </c>
      <c r="Q338" s="104">
        <f t="shared" si="1559"/>
        <v>2641469.12</v>
      </c>
      <c r="R338" s="104">
        <f t="shared" si="1559"/>
        <v>11470</v>
      </c>
      <c r="S338" s="104">
        <f t="shared" si="1559"/>
        <v>1566452.4500000002</v>
      </c>
      <c r="T338" s="104">
        <f t="shared" si="1559"/>
        <v>2582523.9000010001</v>
      </c>
      <c r="U338" s="104">
        <f t="shared" si="1559"/>
        <v>0</v>
      </c>
      <c r="V338" s="104">
        <f t="shared" si="1559"/>
        <v>8666.0199999999986</v>
      </c>
      <c r="W338" s="104">
        <f t="shared" si="1559"/>
        <v>312181.36</v>
      </c>
      <c r="X338" s="106">
        <f t="shared" ref="X338:Y338" si="1560">IF(O338&gt;0,O338/K338,0)</f>
        <v>1</v>
      </c>
      <c r="Y338" s="106">
        <f t="shared" si="1560"/>
        <v>0.95748338491268192</v>
      </c>
      <c r="Z338" s="106">
        <f t="shared" si="1518"/>
        <v>0.89430660055620381</v>
      </c>
      <c r="AA338" s="104">
        <f t="shared" ref="AA338:BW338" si="1561">AA339+AA358+AA371+AA424</f>
        <v>0</v>
      </c>
      <c r="AB338" s="104">
        <f t="shared" si="1561"/>
        <v>49035.380000000005</v>
      </c>
      <c r="AC338" s="104">
        <f t="shared" si="1561"/>
        <v>0</v>
      </c>
      <c r="AD338" s="104">
        <f t="shared" si="1561"/>
        <v>0</v>
      </c>
      <c r="AE338" s="104">
        <f t="shared" si="1561"/>
        <v>206991.97</v>
      </c>
      <c r="AF338" s="104">
        <f t="shared" si="1561"/>
        <v>405.27</v>
      </c>
      <c r="AG338" s="104">
        <f t="shared" si="1561"/>
        <v>0</v>
      </c>
      <c r="AH338" s="104">
        <f t="shared" si="1561"/>
        <v>176347.08</v>
      </c>
      <c r="AI338" s="104">
        <f t="shared" si="1561"/>
        <v>106717.36</v>
      </c>
      <c r="AJ338" s="104">
        <f t="shared" si="1561"/>
        <v>0</v>
      </c>
      <c r="AK338" s="104">
        <f t="shared" si="1561"/>
        <v>187701.7</v>
      </c>
      <c r="AL338" s="104">
        <f t="shared" si="1561"/>
        <v>203632.5</v>
      </c>
      <c r="AM338" s="104">
        <f t="shared" si="1561"/>
        <v>0</v>
      </c>
      <c r="AN338" s="104">
        <f t="shared" si="1561"/>
        <v>105709.15999999999</v>
      </c>
      <c r="AO338" s="104">
        <f t="shared" si="1561"/>
        <v>312364.15000000002</v>
      </c>
      <c r="AP338" s="104">
        <f t="shared" si="1561"/>
        <v>5535</v>
      </c>
      <c r="AQ338" s="104">
        <f t="shared" si="1561"/>
        <v>199159.65</v>
      </c>
      <c r="AR338" s="104">
        <f t="shared" si="1561"/>
        <v>271111.19000000006</v>
      </c>
      <c r="AS338" s="104">
        <f t="shared" si="1561"/>
        <v>0</v>
      </c>
      <c r="AT338" s="104">
        <f t="shared" si="1561"/>
        <v>53670.19</v>
      </c>
      <c r="AU338" s="104">
        <f t="shared" si="1561"/>
        <v>295189.57</v>
      </c>
      <c r="AV338" s="104">
        <f t="shared" si="1561"/>
        <v>0</v>
      </c>
      <c r="AW338" s="104">
        <f t="shared" si="1561"/>
        <v>156560.64000000001</v>
      </c>
      <c r="AX338" s="104">
        <f t="shared" si="1561"/>
        <v>355867.42</v>
      </c>
      <c r="AY338" s="104">
        <f t="shared" si="1561"/>
        <v>0</v>
      </c>
      <c r="AZ338" s="104">
        <f t="shared" si="1561"/>
        <v>102191.8</v>
      </c>
      <c r="BA338" s="104">
        <f t="shared" si="1561"/>
        <v>58502.679999999986</v>
      </c>
      <c r="BB338" s="104">
        <f t="shared" si="1561"/>
        <v>5935</v>
      </c>
      <c r="BC338" s="104">
        <f t="shared" si="1561"/>
        <v>30970.78</v>
      </c>
      <c r="BD338" s="104">
        <f t="shared" si="1561"/>
        <v>288173.21999999997</v>
      </c>
      <c r="BE338" s="104">
        <f t="shared" si="1561"/>
        <v>0</v>
      </c>
      <c r="BF338" s="104">
        <f t="shared" si="1561"/>
        <v>20740.940000000002</v>
      </c>
      <c r="BG338" s="104">
        <f t="shared" si="1561"/>
        <v>329889.10000000003</v>
      </c>
      <c r="BH338" s="104">
        <f t="shared" si="1561"/>
        <v>0</v>
      </c>
      <c r="BI338" s="104">
        <f t="shared" si="1561"/>
        <v>277373.16000000003</v>
      </c>
      <c r="BJ338" s="104">
        <f t="shared" si="1561"/>
        <v>419616.66</v>
      </c>
      <c r="BK338" s="104">
        <f t="shared" si="1561"/>
        <v>11470</v>
      </c>
      <c r="BL338" s="104">
        <f t="shared" si="1561"/>
        <v>1566452.4500000002</v>
      </c>
      <c r="BM338" s="104">
        <f t="shared" si="1561"/>
        <v>2582523.9000010001</v>
      </c>
      <c r="BN338" s="104">
        <f t="shared" si="1561"/>
        <v>0</v>
      </c>
      <c r="BO338" s="104">
        <f t="shared" si="1561"/>
        <v>58945.219999000125</v>
      </c>
      <c r="BP338" s="104">
        <f t="shared" si="1561"/>
        <v>58945.219999000125</v>
      </c>
      <c r="BQ338" s="104">
        <f t="shared" si="1561"/>
        <v>0</v>
      </c>
      <c r="BR338" s="104">
        <f t="shared" si="1561"/>
        <v>312181.36</v>
      </c>
      <c r="BS338" s="104">
        <f t="shared" si="1561"/>
        <v>312181.36</v>
      </c>
      <c r="BT338" s="104">
        <f t="shared" si="1561"/>
        <v>8666.0199999999986</v>
      </c>
      <c r="BU338" s="104">
        <f t="shared" si="1561"/>
        <v>58945.219999000125</v>
      </c>
      <c r="BV338" s="104">
        <f t="shared" si="1561"/>
        <v>312181.36</v>
      </c>
      <c r="BW338" s="104">
        <f t="shared" si="1561"/>
        <v>379792.59999899997</v>
      </c>
      <c r="BX338" s="1"/>
      <c r="BY338" s="1"/>
      <c r="BZ338" s="1"/>
      <c r="CA338" s="1"/>
      <c r="CB338" s="1"/>
      <c r="CC338" s="1"/>
      <c r="CD338" s="1"/>
      <c r="CE338" s="1"/>
      <c r="CF338" s="1"/>
      <c r="CG338" s="1"/>
    </row>
    <row r="339" spans="1:85" ht="15.75" customHeight="1">
      <c r="A339" s="326"/>
      <c r="B339" s="327"/>
      <c r="C339" s="328"/>
      <c r="D339" s="329" t="s">
        <v>637</v>
      </c>
      <c r="E339" s="330">
        <f t="shared" ref="E339:H339" si="1562">E340+E345+E347+E350+E352</f>
        <v>231443.26</v>
      </c>
      <c r="F339" s="330">
        <f t="shared" si="1562"/>
        <v>25227.3</v>
      </c>
      <c r="G339" s="330">
        <f t="shared" si="1562"/>
        <v>206215.96</v>
      </c>
      <c r="H339" s="330">
        <f t="shared" si="1562"/>
        <v>0</v>
      </c>
      <c r="I339" s="331">
        <f t="shared" si="1514"/>
        <v>5.0772015900224211E-2</v>
      </c>
      <c r="J339" s="331">
        <f t="shared" si="1515"/>
        <v>5.0772015900224211E-2</v>
      </c>
      <c r="K339" s="330">
        <f t="shared" ref="K339:W339" si="1563">K340+K345+K347+K350+K352</f>
        <v>10470</v>
      </c>
      <c r="L339" s="330">
        <f t="shared" si="1563"/>
        <v>0</v>
      </c>
      <c r="M339" s="330">
        <f t="shared" si="1563"/>
        <v>0</v>
      </c>
      <c r="N339" s="330">
        <f t="shared" si="1563"/>
        <v>16662.79</v>
      </c>
      <c r="O339" s="330">
        <f t="shared" si="1563"/>
        <v>10470</v>
      </c>
      <c r="P339" s="330">
        <f t="shared" si="1563"/>
        <v>0</v>
      </c>
      <c r="Q339" s="330">
        <f t="shared" si="1563"/>
        <v>0</v>
      </c>
      <c r="R339" s="330">
        <f t="shared" si="1563"/>
        <v>10470</v>
      </c>
      <c r="S339" s="330">
        <f t="shared" si="1563"/>
        <v>0</v>
      </c>
      <c r="T339" s="330">
        <f t="shared" si="1563"/>
        <v>0</v>
      </c>
      <c r="U339" s="330">
        <f t="shared" si="1563"/>
        <v>0</v>
      </c>
      <c r="V339" s="330">
        <f t="shared" si="1563"/>
        <v>0</v>
      </c>
      <c r="W339" s="330">
        <f t="shared" si="1563"/>
        <v>16662.79</v>
      </c>
      <c r="X339" s="332">
        <f t="shared" ref="X339:Y339" si="1564">IF(O339&gt;0,O339/K339,0)</f>
        <v>1</v>
      </c>
      <c r="Y339" s="332">
        <f t="shared" si="1564"/>
        <v>0</v>
      </c>
      <c r="Z339" s="332">
        <f t="shared" si="1518"/>
        <v>0</v>
      </c>
      <c r="AA339" s="330">
        <f t="shared" ref="AA339:BW339" si="1565">AA340+AA345+AA347+AA350+AA352</f>
        <v>0</v>
      </c>
      <c r="AB339" s="330">
        <f t="shared" si="1565"/>
        <v>0</v>
      </c>
      <c r="AC339" s="330">
        <f t="shared" si="1565"/>
        <v>0</v>
      </c>
      <c r="AD339" s="330">
        <f t="shared" si="1565"/>
        <v>0</v>
      </c>
      <c r="AE339" s="330">
        <f t="shared" si="1565"/>
        <v>0</v>
      </c>
      <c r="AF339" s="330">
        <f t="shared" si="1565"/>
        <v>0</v>
      </c>
      <c r="AG339" s="330">
        <f t="shared" si="1565"/>
        <v>0</v>
      </c>
      <c r="AH339" s="330">
        <f t="shared" si="1565"/>
        <v>0</v>
      </c>
      <c r="AI339" s="330">
        <f t="shared" si="1565"/>
        <v>0</v>
      </c>
      <c r="AJ339" s="330">
        <f t="shared" si="1565"/>
        <v>0</v>
      </c>
      <c r="AK339" s="330">
        <f t="shared" si="1565"/>
        <v>0</v>
      </c>
      <c r="AL339" s="330">
        <f t="shared" si="1565"/>
        <v>0</v>
      </c>
      <c r="AM339" s="330">
        <f t="shared" si="1565"/>
        <v>0</v>
      </c>
      <c r="AN339" s="330">
        <f t="shared" si="1565"/>
        <v>0</v>
      </c>
      <c r="AO339" s="330">
        <f t="shared" si="1565"/>
        <v>0</v>
      </c>
      <c r="AP339" s="330">
        <f t="shared" si="1565"/>
        <v>4535</v>
      </c>
      <c r="AQ339" s="330">
        <f t="shared" si="1565"/>
        <v>0</v>
      </c>
      <c r="AR339" s="330">
        <f t="shared" si="1565"/>
        <v>0</v>
      </c>
      <c r="AS339" s="330">
        <f t="shared" si="1565"/>
        <v>0</v>
      </c>
      <c r="AT339" s="330">
        <f t="shared" si="1565"/>
        <v>0</v>
      </c>
      <c r="AU339" s="330">
        <f t="shared" si="1565"/>
        <v>0</v>
      </c>
      <c r="AV339" s="330">
        <f t="shared" si="1565"/>
        <v>0</v>
      </c>
      <c r="AW339" s="330">
        <f t="shared" si="1565"/>
        <v>0</v>
      </c>
      <c r="AX339" s="330">
        <f t="shared" si="1565"/>
        <v>0</v>
      </c>
      <c r="AY339" s="330">
        <f t="shared" si="1565"/>
        <v>0</v>
      </c>
      <c r="AZ339" s="330">
        <f t="shared" si="1565"/>
        <v>0</v>
      </c>
      <c r="BA339" s="330">
        <f t="shared" si="1565"/>
        <v>0</v>
      </c>
      <c r="BB339" s="330">
        <f t="shared" si="1565"/>
        <v>5935</v>
      </c>
      <c r="BC339" s="330">
        <f t="shared" si="1565"/>
        <v>0</v>
      </c>
      <c r="BD339" s="330">
        <f t="shared" si="1565"/>
        <v>0</v>
      </c>
      <c r="BE339" s="330">
        <f t="shared" si="1565"/>
        <v>0</v>
      </c>
      <c r="BF339" s="330">
        <f t="shared" si="1565"/>
        <v>0</v>
      </c>
      <c r="BG339" s="330">
        <f t="shared" si="1565"/>
        <v>0</v>
      </c>
      <c r="BH339" s="330">
        <f t="shared" si="1565"/>
        <v>0</v>
      </c>
      <c r="BI339" s="330">
        <f t="shared" si="1565"/>
        <v>0</v>
      </c>
      <c r="BJ339" s="330">
        <f t="shared" si="1565"/>
        <v>0</v>
      </c>
      <c r="BK339" s="330">
        <f t="shared" si="1565"/>
        <v>10470</v>
      </c>
      <c r="BL339" s="330">
        <f t="shared" si="1565"/>
        <v>0</v>
      </c>
      <c r="BM339" s="330">
        <f t="shared" si="1565"/>
        <v>0</v>
      </c>
      <c r="BN339" s="330">
        <f t="shared" si="1565"/>
        <v>0</v>
      </c>
      <c r="BO339" s="330">
        <f t="shared" si="1565"/>
        <v>0</v>
      </c>
      <c r="BP339" s="330">
        <f t="shared" si="1565"/>
        <v>0</v>
      </c>
      <c r="BQ339" s="330">
        <f t="shared" si="1565"/>
        <v>0</v>
      </c>
      <c r="BR339" s="330">
        <f t="shared" si="1565"/>
        <v>16662.79</v>
      </c>
      <c r="BS339" s="330">
        <f t="shared" si="1565"/>
        <v>16662.79</v>
      </c>
      <c r="BT339" s="330">
        <f t="shared" si="1565"/>
        <v>0</v>
      </c>
      <c r="BU339" s="330">
        <f t="shared" si="1565"/>
        <v>0</v>
      </c>
      <c r="BV339" s="330">
        <f t="shared" si="1565"/>
        <v>16662.79</v>
      </c>
      <c r="BW339" s="330">
        <f t="shared" si="1565"/>
        <v>16662.79</v>
      </c>
      <c r="BX339" s="1"/>
      <c r="BY339" s="1"/>
      <c r="BZ339" s="1"/>
      <c r="CA339" s="1"/>
      <c r="CB339" s="1"/>
      <c r="CC339" s="1"/>
      <c r="CD339" s="1"/>
      <c r="CE339" s="1"/>
      <c r="CF339" s="1"/>
      <c r="CG339" s="1"/>
    </row>
    <row r="340" spans="1:85" ht="15.75">
      <c r="A340" s="270"/>
      <c r="B340" s="271"/>
      <c r="C340" s="272"/>
      <c r="D340" s="112" t="s">
        <v>128</v>
      </c>
      <c r="E340" s="286">
        <f t="shared" ref="E340:H340" si="1566">SUM(E341:E344)</f>
        <v>27000</v>
      </c>
      <c r="F340" s="286">
        <f t="shared" si="1566"/>
        <v>0</v>
      </c>
      <c r="G340" s="286">
        <f t="shared" si="1566"/>
        <v>27000</v>
      </c>
      <c r="H340" s="286">
        <f t="shared" si="1566"/>
        <v>0</v>
      </c>
      <c r="I340" s="287">
        <f t="shared" si="1514"/>
        <v>0</v>
      </c>
      <c r="J340" s="287">
        <f t="shared" si="1515"/>
        <v>0</v>
      </c>
      <c r="K340" s="286">
        <f t="shared" ref="K340:W340" si="1567">SUM(K341:K344)</f>
        <v>0</v>
      </c>
      <c r="L340" s="286">
        <f t="shared" si="1567"/>
        <v>0</v>
      </c>
      <c r="M340" s="286">
        <f t="shared" si="1567"/>
        <v>0</v>
      </c>
      <c r="N340" s="286">
        <f t="shared" si="1567"/>
        <v>0</v>
      </c>
      <c r="O340" s="286">
        <f t="shared" si="1567"/>
        <v>0</v>
      </c>
      <c r="P340" s="286">
        <f t="shared" si="1567"/>
        <v>0</v>
      </c>
      <c r="Q340" s="286">
        <f t="shared" si="1567"/>
        <v>0</v>
      </c>
      <c r="R340" s="286">
        <f t="shared" si="1567"/>
        <v>0</v>
      </c>
      <c r="S340" s="286">
        <f t="shared" si="1567"/>
        <v>0</v>
      </c>
      <c r="T340" s="286">
        <f t="shared" si="1567"/>
        <v>0</v>
      </c>
      <c r="U340" s="286">
        <f t="shared" si="1567"/>
        <v>0</v>
      </c>
      <c r="V340" s="286">
        <f t="shared" si="1567"/>
        <v>0</v>
      </c>
      <c r="W340" s="286">
        <f t="shared" si="1567"/>
        <v>0</v>
      </c>
      <c r="X340" s="288">
        <f t="shared" ref="X340:Y340" si="1568">IF(O340&gt;0,O340/K340,0)</f>
        <v>0</v>
      </c>
      <c r="Y340" s="288">
        <f t="shared" si="1568"/>
        <v>0</v>
      </c>
      <c r="Z340" s="288">
        <f t="shared" si="1518"/>
        <v>0</v>
      </c>
      <c r="AA340" s="286">
        <f t="shared" ref="AA340:BW340" si="1569">SUM(AA341:AA344)</f>
        <v>0</v>
      </c>
      <c r="AB340" s="286">
        <f t="shared" si="1569"/>
        <v>0</v>
      </c>
      <c r="AC340" s="286">
        <f t="shared" si="1569"/>
        <v>0</v>
      </c>
      <c r="AD340" s="286">
        <f t="shared" si="1569"/>
        <v>0</v>
      </c>
      <c r="AE340" s="286">
        <f t="shared" si="1569"/>
        <v>0</v>
      </c>
      <c r="AF340" s="286">
        <f t="shared" si="1569"/>
        <v>0</v>
      </c>
      <c r="AG340" s="286">
        <f t="shared" si="1569"/>
        <v>0</v>
      </c>
      <c r="AH340" s="286">
        <f t="shared" si="1569"/>
        <v>0</v>
      </c>
      <c r="AI340" s="286">
        <f t="shared" si="1569"/>
        <v>0</v>
      </c>
      <c r="AJ340" s="286">
        <f t="shared" si="1569"/>
        <v>0</v>
      </c>
      <c r="AK340" s="286">
        <f t="shared" si="1569"/>
        <v>0</v>
      </c>
      <c r="AL340" s="286">
        <f t="shared" si="1569"/>
        <v>0</v>
      </c>
      <c r="AM340" s="286">
        <f t="shared" si="1569"/>
        <v>0</v>
      </c>
      <c r="AN340" s="286">
        <f t="shared" si="1569"/>
        <v>0</v>
      </c>
      <c r="AO340" s="286">
        <f t="shared" si="1569"/>
        <v>0</v>
      </c>
      <c r="AP340" s="286">
        <f t="shared" si="1569"/>
        <v>0</v>
      </c>
      <c r="AQ340" s="286">
        <f t="shared" si="1569"/>
        <v>0</v>
      </c>
      <c r="AR340" s="286">
        <f t="shared" si="1569"/>
        <v>0</v>
      </c>
      <c r="AS340" s="286">
        <f t="shared" si="1569"/>
        <v>0</v>
      </c>
      <c r="AT340" s="286">
        <f t="shared" si="1569"/>
        <v>0</v>
      </c>
      <c r="AU340" s="286">
        <f t="shared" si="1569"/>
        <v>0</v>
      </c>
      <c r="AV340" s="286">
        <f t="shared" si="1569"/>
        <v>0</v>
      </c>
      <c r="AW340" s="286">
        <f t="shared" si="1569"/>
        <v>0</v>
      </c>
      <c r="AX340" s="286">
        <f t="shared" si="1569"/>
        <v>0</v>
      </c>
      <c r="AY340" s="286">
        <f t="shared" si="1569"/>
        <v>0</v>
      </c>
      <c r="AZ340" s="286">
        <f t="shared" si="1569"/>
        <v>0</v>
      </c>
      <c r="BA340" s="286">
        <f t="shared" si="1569"/>
        <v>0</v>
      </c>
      <c r="BB340" s="286">
        <f t="shared" si="1569"/>
        <v>0</v>
      </c>
      <c r="BC340" s="286">
        <f t="shared" si="1569"/>
        <v>0</v>
      </c>
      <c r="BD340" s="286">
        <f t="shared" si="1569"/>
        <v>0</v>
      </c>
      <c r="BE340" s="286">
        <f t="shared" si="1569"/>
        <v>0</v>
      </c>
      <c r="BF340" s="286">
        <f t="shared" si="1569"/>
        <v>0</v>
      </c>
      <c r="BG340" s="286">
        <f t="shared" si="1569"/>
        <v>0</v>
      </c>
      <c r="BH340" s="286">
        <f t="shared" si="1569"/>
        <v>0</v>
      </c>
      <c r="BI340" s="286">
        <f t="shared" si="1569"/>
        <v>0</v>
      </c>
      <c r="BJ340" s="286">
        <f t="shared" si="1569"/>
        <v>0</v>
      </c>
      <c r="BK340" s="286">
        <f t="shared" si="1569"/>
        <v>0</v>
      </c>
      <c r="BL340" s="286">
        <f t="shared" si="1569"/>
        <v>0</v>
      </c>
      <c r="BM340" s="286">
        <f t="shared" si="1569"/>
        <v>0</v>
      </c>
      <c r="BN340" s="286">
        <f t="shared" si="1569"/>
        <v>0</v>
      </c>
      <c r="BO340" s="286">
        <f t="shared" si="1569"/>
        <v>0</v>
      </c>
      <c r="BP340" s="286">
        <f t="shared" si="1569"/>
        <v>0</v>
      </c>
      <c r="BQ340" s="286">
        <f t="shared" si="1569"/>
        <v>0</v>
      </c>
      <c r="BR340" s="286">
        <f t="shared" si="1569"/>
        <v>0</v>
      </c>
      <c r="BS340" s="286">
        <f t="shared" si="1569"/>
        <v>0</v>
      </c>
      <c r="BT340" s="286">
        <f t="shared" si="1569"/>
        <v>0</v>
      </c>
      <c r="BU340" s="286">
        <f t="shared" si="1569"/>
        <v>0</v>
      </c>
      <c r="BV340" s="286">
        <f t="shared" si="1569"/>
        <v>0</v>
      </c>
      <c r="BW340" s="286">
        <f t="shared" si="1569"/>
        <v>0</v>
      </c>
      <c r="BX340" s="1"/>
      <c r="BY340" s="1"/>
      <c r="BZ340" s="1"/>
      <c r="CA340" s="1"/>
      <c r="CB340" s="1"/>
      <c r="CC340" s="1"/>
      <c r="CD340" s="1"/>
      <c r="CE340" s="1"/>
      <c r="CF340" s="1"/>
      <c r="CG340" s="1"/>
    </row>
    <row r="341" spans="1:85" ht="15.75" customHeight="1">
      <c r="A341" s="113"/>
      <c r="B341" s="67"/>
      <c r="C341" s="68" t="s">
        <v>129</v>
      </c>
      <c r="D341" s="69" t="s">
        <v>638</v>
      </c>
      <c r="E341" s="70">
        <v>1000</v>
      </c>
      <c r="F341" s="93">
        <v>0</v>
      </c>
      <c r="G341" s="70">
        <f t="shared" ref="G341:G344" si="1570">E341-F341</f>
        <v>1000</v>
      </c>
      <c r="H341" s="70"/>
      <c r="I341" s="72">
        <f t="shared" si="1514"/>
        <v>0</v>
      </c>
      <c r="J341" s="72">
        <f t="shared" si="1515"/>
        <v>0</v>
      </c>
      <c r="K341" s="88"/>
      <c r="L341" s="74"/>
      <c r="M341" s="81"/>
      <c r="N341" s="88"/>
      <c r="O341" s="77">
        <f t="shared" ref="O341:Q341" si="1571">AA341+AD341+AG341+AJ341+AM341+AP341+AS341+AV341+AY341+BB341+BE341+BH341</f>
        <v>0</v>
      </c>
      <c r="P341" s="77">
        <f t="shared" si="1571"/>
        <v>0</v>
      </c>
      <c r="Q341" s="77">
        <f t="shared" si="1571"/>
        <v>0</v>
      </c>
      <c r="R341" s="77">
        <f t="shared" ref="R341:T341" si="1572">IF(BK341=0,SUM(AA341+AD341+AG341+AJ341+AM341+AP341+AS341+AV341+AY341+BB341+BE341+BH341),BK341)</f>
        <v>0</v>
      </c>
      <c r="S341" s="77">
        <f t="shared" si="1572"/>
        <v>0</v>
      </c>
      <c r="T341" s="77">
        <f t="shared" si="1572"/>
        <v>0</v>
      </c>
      <c r="U341" s="79">
        <f t="shared" ref="U341:U344" si="1573">K341-O341</f>
        <v>0</v>
      </c>
      <c r="V341" s="79">
        <f t="shared" ref="V341:V344" si="1574">L341-M341-S341</f>
        <v>0</v>
      </c>
      <c r="W341" s="79">
        <f t="shared" ref="W341:W344" si="1575">N341-Q341</f>
        <v>0</v>
      </c>
      <c r="X341" s="80">
        <f t="shared" ref="X341:Y341" si="1576">IF(O341&gt;0,O341/K341,0)</f>
        <v>0</v>
      </c>
      <c r="Y341" s="80">
        <f t="shared" si="1576"/>
        <v>0</v>
      </c>
      <c r="Z341" s="80">
        <f t="shared" si="1518"/>
        <v>0</v>
      </c>
      <c r="AA341" s="81"/>
      <c r="AB341" s="81"/>
      <c r="AC341" s="81"/>
      <c r="AD341" s="81"/>
      <c r="AE341" s="83"/>
      <c r="AF341" s="83"/>
      <c r="AG341" s="83"/>
      <c r="AH341" s="83"/>
      <c r="AI341" s="81"/>
      <c r="AJ341" s="81"/>
      <c r="AK341" s="81"/>
      <c r="AL341" s="81"/>
      <c r="AM341" s="81"/>
      <c r="AN341" s="81"/>
      <c r="AO341" s="81"/>
      <c r="AP341" s="81"/>
      <c r="AQ341" s="81"/>
      <c r="AR341" s="81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1"/>
      <c r="BE341" s="81"/>
      <c r="BF341" s="81"/>
      <c r="BG341" s="81"/>
      <c r="BH341" s="81"/>
      <c r="BI341" s="81"/>
      <c r="BJ341" s="81"/>
      <c r="BK341" s="82">
        <v>0</v>
      </c>
      <c r="BL341" s="82">
        <v>0</v>
      </c>
      <c r="BM341" s="82">
        <v>0</v>
      </c>
      <c r="BN341" s="81">
        <f t="shared" ref="BN341:BN344" si="1577">IF(O341-BK341&gt;0,O341-BK341,0)</f>
        <v>0</v>
      </c>
      <c r="BO341" s="75">
        <f t="shared" ref="BO341:BO344" si="1578">IF(Q341-BM341&gt;0,Q341-BM341,0)</f>
        <v>0</v>
      </c>
      <c r="BP341" s="81">
        <f t="shared" ref="BP341:BP344" si="1579">IF(BN341+BO341&gt;0,BN341+BO341,0)</f>
        <v>0</v>
      </c>
      <c r="BQ341" s="81">
        <f t="shared" ref="BQ341:BQ344" si="1580">IF(U341=0,0,U341)</f>
        <v>0</v>
      </c>
      <c r="BR341" s="81">
        <f t="shared" ref="BR341:BR344" si="1581">IF(W341=0,0,W341)</f>
        <v>0</v>
      </c>
      <c r="BS341" s="81">
        <f t="shared" ref="BS341:BS344" si="1582">IF(BQ341+BR341&gt;0,BQ341+BR341,0)</f>
        <v>0</v>
      </c>
      <c r="BT341" s="81">
        <f t="shared" ref="BT341:BT344" si="1583">IF(V341&gt;0,V341,0)</f>
        <v>0</v>
      </c>
      <c r="BU341" s="81">
        <f t="shared" ref="BU341:BU344" si="1584">IF(BP341=0,0,BP341)</f>
        <v>0</v>
      </c>
      <c r="BV341" s="81">
        <f t="shared" ref="BV341:BV344" si="1585">IF(BS341=0,0,BS341)</f>
        <v>0</v>
      </c>
      <c r="BW341" s="81">
        <f t="shared" ref="BW341:BW344" si="1586">IF(BP341+BT341+BV341&gt;0,BP341+BT341+BV341,0)</f>
        <v>0</v>
      </c>
      <c r="BX341" s="1"/>
      <c r="BY341" s="1"/>
      <c r="BZ341" s="1"/>
      <c r="CA341" s="1"/>
      <c r="CB341" s="1"/>
      <c r="CC341" s="1"/>
      <c r="CD341" s="1"/>
      <c r="CE341" s="1"/>
      <c r="CF341" s="1"/>
      <c r="CG341" s="1"/>
    </row>
    <row r="342" spans="1:85" ht="15.75" customHeight="1">
      <c r="A342" s="84"/>
      <c r="B342" s="85"/>
      <c r="C342" s="86" t="s">
        <v>639</v>
      </c>
      <c r="D342" s="87" t="s">
        <v>640</v>
      </c>
      <c r="E342" s="70">
        <v>20000</v>
      </c>
      <c r="F342" s="71"/>
      <c r="G342" s="70">
        <f t="shared" si="1570"/>
        <v>20000</v>
      </c>
      <c r="H342" s="70"/>
      <c r="I342" s="72">
        <f t="shared" si="1514"/>
        <v>0</v>
      </c>
      <c r="J342" s="72">
        <f t="shared" si="1515"/>
        <v>0</v>
      </c>
      <c r="K342" s="88"/>
      <c r="L342" s="74"/>
      <c r="M342" s="81"/>
      <c r="N342" s="88"/>
      <c r="O342" s="77">
        <f t="shared" ref="O342:Q342" si="1587">AA342+AD342+AG342+AJ342+AM342+AP342+AS342+AV342+AY342+BB342+BE342+BH342</f>
        <v>0</v>
      </c>
      <c r="P342" s="77">
        <f t="shared" si="1587"/>
        <v>0</v>
      </c>
      <c r="Q342" s="77">
        <f t="shared" si="1587"/>
        <v>0</v>
      </c>
      <c r="R342" s="77">
        <f t="shared" ref="R342:T342" si="1588">IF(BK342=0,SUM(AA342+AD342+AG342+AJ342+AM342+AP342+AS342+AV342+AY342+BB342+BE342+BH342),BK342)</f>
        <v>0</v>
      </c>
      <c r="S342" s="77">
        <f t="shared" si="1588"/>
        <v>0</v>
      </c>
      <c r="T342" s="77">
        <f t="shared" si="1588"/>
        <v>0</v>
      </c>
      <c r="U342" s="79">
        <f t="shared" si="1573"/>
        <v>0</v>
      </c>
      <c r="V342" s="79">
        <f t="shared" si="1574"/>
        <v>0</v>
      </c>
      <c r="W342" s="79">
        <f t="shared" si="1575"/>
        <v>0</v>
      </c>
      <c r="X342" s="80">
        <f t="shared" ref="X342:Y342" si="1589">IF(O342&gt;0,O342/K342,0)</f>
        <v>0</v>
      </c>
      <c r="Y342" s="80">
        <f t="shared" si="1589"/>
        <v>0</v>
      </c>
      <c r="Z342" s="80">
        <f t="shared" si="1518"/>
        <v>0</v>
      </c>
      <c r="AA342" s="81"/>
      <c r="AB342" s="81"/>
      <c r="AC342" s="81"/>
      <c r="AD342" s="81"/>
      <c r="AE342" s="83"/>
      <c r="AF342" s="83"/>
      <c r="AG342" s="83"/>
      <c r="AH342" s="83"/>
      <c r="AI342" s="81"/>
      <c r="AJ342" s="81"/>
      <c r="AK342" s="81"/>
      <c r="AL342" s="81"/>
      <c r="AM342" s="81"/>
      <c r="AN342" s="81"/>
      <c r="AO342" s="81"/>
      <c r="AP342" s="81"/>
      <c r="AQ342" s="81"/>
      <c r="AR342" s="81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1"/>
      <c r="BE342" s="81"/>
      <c r="BF342" s="81"/>
      <c r="BG342" s="81"/>
      <c r="BH342" s="81"/>
      <c r="BI342" s="81"/>
      <c r="BJ342" s="81"/>
      <c r="BK342" s="82">
        <v>0</v>
      </c>
      <c r="BL342" s="82">
        <v>0</v>
      </c>
      <c r="BM342" s="82">
        <v>0</v>
      </c>
      <c r="BN342" s="81">
        <f t="shared" si="1577"/>
        <v>0</v>
      </c>
      <c r="BO342" s="75">
        <f t="shared" si="1578"/>
        <v>0</v>
      </c>
      <c r="BP342" s="81">
        <f t="shared" si="1579"/>
        <v>0</v>
      </c>
      <c r="BQ342" s="81">
        <f t="shared" si="1580"/>
        <v>0</v>
      </c>
      <c r="BR342" s="81">
        <f t="shared" si="1581"/>
        <v>0</v>
      </c>
      <c r="BS342" s="81">
        <f t="shared" si="1582"/>
        <v>0</v>
      </c>
      <c r="BT342" s="81">
        <f t="shared" si="1583"/>
        <v>0</v>
      </c>
      <c r="BU342" s="81">
        <f t="shared" si="1584"/>
        <v>0</v>
      </c>
      <c r="BV342" s="81">
        <f t="shared" si="1585"/>
        <v>0</v>
      </c>
      <c r="BW342" s="81">
        <f t="shared" si="1586"/>
        <v>0</v>
      </c>
      <c r="BX342" s="1"/>
      <c r="BY342" s="1"/>
      <c r="BZ342" s="1"/>
      <c r="CA342" s="1"/>
      <c r="CB342" s="1"/>
      <c r="CC342" s="1"/>
      <c r="CD342" s="1"/>
      <c r="CE342" s="1"/>
      <c r="CF342" s="1"/>
      <c r="CG342" s="1"/>
    </row>
    <row r="343" spans="1:85" ht="15.75" customHeight="1">
      <c r="A343" s="84"/>
      <c r="B343" s="85"/>
      <c r="C343" s="86" t="s">
        <v>641</v>
      </c>
      <c r="D343" s="87" t="s">
        <v>642</v>
      </c>
      <c r="E343" s="70">
        <v>3000</v>
      </c>
      <c r="F343" s="71"/>
      <c r="G343" s="70">
        <f t="shared" si="1570"/>
        <v>3000</v>
      </c>
      <c r="H343" s="70"/>
      <c r="I343" s="72">
        <f t="shared" si="1514"/>
        <v>0</v>
      </c>
      <c r="J343" s="72">
        <f t="shared" si="1515"/>
        <v>0</v>
      </c>
      <c r="K343" s="88"/>
      <c r="L343" s="74"/>
      <c r="M343" s="81"/>
      <c r="N343" s="88"/>
      <c r="O343" s="77">
        <f t="shared" ref="O343:Q343" si="1590">AA343+AD343+AG343+AJ343+AM343+AP343+AS343+AV343+AY343+BB343+BE343+BH343</f>
        <v>0</v>
      </c>
      <c r="P343" s="77">
        <f t="shared" si="1590"/>
        <v>0</v>
      </c>
      <c r="Q343" s="77">
        <f t="shared" si="1590"/>
        <v>0</v>
      </c>
      <c r="R343" s="77">
        <f t="shared" ref="R343:T343" si="1591">IF(BK343=0,SUM(AA343+AD343+AG343+AJ343+AM343+AP343+AS343+AV343+AY343+BB343+BE343+BH343),BK343)</f>
        <v>0</v>
      </c>
      <c r="S343" s="77">
        <f t="shared" si="1591"/>
        <v>0</v>
      </c>
      <c r="T343" s="77">
        <f t="shared" si="1591"/>
        <v>0</v>
      </c>
      <c r="U343" s="79">
        <f t="shared" si="1573"/>
        <v>0</v>
      </c>
      <c r="V343" s="79">
        <f t="shared" si="1574"/>
        <v>0</v>
      </c>
      <c r="W343" s="79">
        <f t="shared" si="1575"/>
        <v>0</v>
      </c>
      <c r="X343" s="80">
        <f t="shared" ref="X343:Y343" si="1592">IF(O343&gt;0,O343/K343,0)</f>
        <v>0</v>
      </c>
      <c r="Y343" s="80">
        <f t="shared" si="1592"/>
        <v>0</v>
      </c>
      <c r="Z343" s="80">
        <f t="shared" si="1518"/>
        <v>0</v>
      </c>
      <c r="AA343" s="81"/>
      <c r="AB343" s="81"/>
      <c r="AC343" s="81"/>
      <c r="AD343" s="81"/>
      <c r="AE343" s="83"/>
      <c r="AF343" s="83"/>
      <c r="AG343" s="83"/>
      <c r="AH343" s="83"/>
      <c r="AI343" s="81"/>
      <c r="AJ343" s="81"/>
      <c r="AK343" s="81"/>
      <c r="AL343" s="81"/>
      <c r="AM343" s="81"/>
      <c r="AN343" s="81"/>
      <c r="AO343" s="81"/>
      <c r="AP343" s="81"/>
      <c r="AQ343" s="81"/>
      <c r="AR343" s="81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1"/>
      <c r="BE343" s="81"/>
      <c r="BF343" s="81"/>
      <c r="BG343" s="81"/>
      <c r="BH343" s="81"/>
      <c r="BI343" s="81"/>
      <c r="BJ343" s="81"/>
      <c r="BK343" s="82">
        <v>0</v>
      </c>
      <c r="BL343" s="82">
        <v>0</v>
      </c>
      <c r="BM343" s="82">
        <v>0</v>
      </c>
      <c r="BN343" s="81">
        <f t="shared" si="1577"/>
        <v>0</v>
      </c>
      <c r="BO343" s="75">
        <f t="shared" si="1578"/>
        <v>0</v>
      </c>
      <c r="BP343" s="81">
        <f t="shared" si="1579"/>
        <v>0</v>
      </c>
      <c r="BQ343" s="81">
        <f t="shared" si="1580"/>
        <v>0</v>
      </c>
      <c r="BR343" s="81">
        <f t="shared" si="1581"/>
        <v>0</v>
      </c>
      <c r="BS343" s="81">
        <f t="shared" si="1582"/>
        <v>0</v>
      </c>
      <c r="BT343" s="81">
        <f t="shared" si="1583"/>
        <v>0</v>
      </c>
      <c r="BU343" s="81">
        <f t="shared" si="1584"/>
        <v>0</v>
      </c>
      <c r="BV343" s="81">
        <f t="shared" si="1585"/>
        <v>0</v>
      </c>
      <c r="BW343" s="81">
        <f t="shared" si="1586"/>
        <v>0</v>
      </c>
      <c r="BX343" s="1"/>
      <c r="BY343" s="1"/>
      <c r="BZ343" s="1"/>
      <c r="CA343" s="1"/>
      <c r="CB343" s="1"/>
      <c r="CC343" s="1"/>
      <c r="CD343" s="1"/>
      <c r="CE343" s="1"/>
      <c r="CF343" s="1"/>
      <c r="CG343" s="1"/>
    </row>
    <row r="344" spans="1:85" ht="15.75" customHeight="1">
      <c r="A344" s="84"/>
      <c r="B344" s="85"/>
      <c r="C344" s="86" t="s">
        <v>643</v>
      </c>
      <c r="D344" s="87" t="s">
        <v>644</v>
      </c>
      <c r="E344" s="70">
        <v>3000</v>
      </c>
      <c r="F344" s="71"/>
      <c r="G344" s="70">
        <f t="shared" si="1570"/>
        <v>3000</v>
      </c>
      <c r="H344" s="333"/>
      <c r="I344" s="72">
        <f t="shared" si="1514"/>
        <v>0</v>
      </c>
      <c r="J344" s="72">
        <f t="shared" si="1515"/>
        <v>0</v>
      </c>
      <c r="K344" s="88"/>
      <c r="L344" s="74"/>
      <c r="M344" s="81"/>
      <c r="N344" s="88"/>
      <c r="O344" s="77">
        <f t="shared" ref="O344:Q344" si="1593">AA344+AD344+AG344+AJ344+AM344+AP344+AS344+AV344+AY344+BB344+BE344+BH344</f>
        <v>0</v>
      </c>
      <c r="P344" s="77">
        <f t="shared" si="1593"/>
        <v>0</v>
      </c>
      <c r="Q344" s="77">
        <f t="shared" si="1593"/>
        <v>0</v>
      </c>
      <c r="R344" s="77">
        <f t="shared" ref="R344:T344" si="1594">IF(BK344=0,SUM(AA344+AD344+AG344+AJ344+AM344+AP344+AS344+AV344+AY344+BB344+BE344+BH344),BK344)</f>
        <v>0</v>
      </c>
      <c r="S344" s="77">
        <f t="shared" si="1594"/>
        <v>0</v>
      </c>
      <c r="T344" s="77">
        <f t="shared" si="1594"/>
        <v>0</v>
      </c>
      <c r="U344" s="79">
        <f t="shared" si="1573"/>
        <v>0</v>
      </c>
      <c r="V344" s="79">
        <f t="shared" si="1574"/>
        <v>0</v>
      </c>
      <c r="W344" s="79">
        <f t="shared" si="1575"/>
        <v>0</v>
      </c>
      <c r="X344" s="80">
        <f t="shared" ref="X344:Y344" si="1595">IF(O344&gt;0,O344/K344,0)</f>
        <v>0</v>
      </c>
      <c r="Y344" s="80">
        <f t="shared" si="1595"/>
        <v>0</v>
      </c>
      <c r="Z344" s="80">
        <f t="shared" si="1518"/>
        <v>0</v>
      </c>
      <c r="AA344" s="81"/>
      <c r="AB344" s="81"/>
      <c r="AC344" s="81"/>
      <c r="AD344" s="81"/>
      <c r="AE344" s="83"/>
      <c r="AF344" s="83"/>
      <c r="AG344" s="83"/>
      <c r="AH344" s="83"/>
      <c r="AI344" s="81"/>
      <c r="AJ344" s="81"/>
      <c r="AK344" s="81"/>
      <c r="AL344" s="81"/>
      <c r="AM344" s="81"/>
      <c r="AN344" s="81"/>
      <c r="AO344" s="81"/>
      <c r="AP344" s="81"/>
      <c r="AQ344" s="81"/>
      <c r="AR344" s="81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  <c r="BE344" s="81"/>
      <c r="BF344" s="81"/>
      <c r="BG344" s="81"/>
      <c r="BH344" s="81"/>
      <c r="BI344" s="81"/>
      <c r="BJ344" s="81"/>
      <c r="BK344" s="82">
        <v>0</v>
      </c>
      <c r="BL344" s="82">
        <v>0</v>
      </c>
      <c r="BM344" s="82">
        <v>0</v>
      </c>
      <c r="BN344" s="81">
        <f t="shared" si="1577"/>
        <v>0</v>
      </c>
      <c r="BO344" s="75">
        <f t="shared" si="1578"/>
        <v>0</v>
      </c>
      <c r="BP344" s="81">
        <f t="shared" si="1579"/>
        <v>0</v>
      </c>
      <c r="BQ344" s="81">
        <f t="shared" si="1580"/>
        <v>0</v>
      </c>
      <c r="BR344" s="81">
        <f t="shared" si="1581"/>
        <v>0</v>
      </c>
      <c r="BS344" s="81">
        <f t="shared" si="1582"/>
        <v>0</v>
      </c>
      <c r="BT344" s="81">
        <f t="shared" si="1583"/>
        <v>0</v>
      </c>
      <c r="BU344" s="81">
        <f t="shared" si="1584"/>
        <v>0</v>
      </c>
      <c r="BV344" s="81">
        <f t="shared" si="1585"/>
        <v>0</v>
      </c>
      <c r="BW344" s="81">
        <f t="shared" si="1586"/>
        <v>0</v>
      </c>
      <c r="BX344" s="1"/>
      <c r="BY344" s="1"/>
      <c r="BZ344" s="1"/>
      <c r="CA344" s="1"/>
      <c r="CB344" s="1"/>
      <c r="CC344" s="1"/>
      <c r="CD344" s="1"/>
      <c r="CE344" s="1"/>
      <c r="CF344" s="1"/>
      <c r="CG344" s="1"/>
    </row>
    <row r="345" spans="1:85" ht="15.75" customHeight="1">
      <c r="A345" s="270"/>
      <c r="B345" s="271"/>
      <c r="C345" s="272"/>
      <c r="D345" s="112" t="s">
        <v>224</v>
      </c>
      <c r="E345" s="58">
        <f t="shared" ref="E345:H345" si="1596">E346</f>
        <v>80000</v>
      </c>
      <c r="F345" s="59">
        <f t="shared" si="1596"/>
        <v>0</v>
      </c>
      <c r="G345" s="59">
        <f t="shared" si="1596"/>
        <v>80000</v>
      </c>
      <c r="H345" s="59">
        <f t="shared" si="1596"/>
        <v>0</v>
      </c>
      <c r="I345" s="60">
        <f t="shared" si="1514"/>
        <v>0</v>
      </c>
      <c r="J345" s="60">
        <f t="shared" si="1515"/>
        <v>0</v>
      </c>
      <c r="K345" s="59">
        <f t="shared" ref="K345:W345" si="1597">K346</f>
        <v>0</v>
      </c>
      <c r="L345" s="59">
        <f t="shared" si="1597"/>
        <v>0</v>
      </c>
      <c r="M345" s="59">
        <f t="shared" si="1597"/>
        <v>0</v>
      </c>
      <c r="N345" s="59">
        <f t="shared" si="1597"/>
        <v>0</v>
      </c>
      <c r="O345" s="59">
        <f t="shared" si="1597"/>
        <v>0</v>
      </c>
      <c r="P345" s="59">
        <f t="shared" si="1597"/>
        <v>0</v>
      </c>
      <c r="Q345" s="59">
        <f t="shared" si="1597"/>
        <v>0</v>
      </c>
      <c r="R345" s="59">
        <f t="shared" si="1597"/>
        <v>0</v>
      </c>
      <c r="S345" s="59">
        <f t="shared" si="1597"/>
        <v>0</v>
      </c>
      <c r="T345" s="59">
        <f t="shared" si="1597"/>
        <v>0</v>
      </c>
      <c r="U345" s="59">
        <f t="shared" si="1597"/>
        <v>0</v>
      </c>
      <c r="V345" s="59">
        <f t="shared" si="1597"/>
        <v>0</v>
      </c>
      <c r="W345" s="59">
        <f t="shared" si="1597"/>
        <v>0</v>
      </c>
      <c r="X345" s="63">
        <f t="shared" ref="X345:Y345" si="1598">IF(O345&gt;0,O345/K345,0)</f>
        <v>0</v>
      </c>
      <c r="Y345" s="63">
        <f t="shared" si="1598"/>
        <v>0</v>
      </c>
      <c r="Z345" s="63">
        <f t="shared" si="1518"/>
        <v>0</v>
      </c>
      <c r="AA345" s="59">
        <f t="shared" ref="AA345:BW345" si="1599">AA346</f>
        <v>0</v>
      </c>
      <c r="AB345" s="59">
        <f t="shared" si="1599"/>
        <v>0</v>
      </c>
      <c r="AC345" s="59">
        <f t="shared" si="1599"/>
        <v>0</v>
      </c>
      <c r="AD345" s="59">
        <f t="shared" si="1599"/>
        <v>0</v>
      </c>
      <c r="AE345" s="59">
        <f t="shared" si="1599"/>
        <v>0</v>
      </c>
      <c r="AF345" s="59">
        <f t="shared" si="1599"/>
        <v>0</v>
      </c>
      <c r="AG345" s="59">
        <f t="shared" si="1599"/>
        <v>0</v>
      </c>
      <c r="AH345" s="59">
        <f t="shared" si="1599"/>
        <v>0</v>
      </c>
      <c r="AI345" s="59">
        <f t="shared" si="1599"/>
        <v>0</v>
      </c>
      <c r="AJ345" s="59">
        <f t="shared" si="1599"/>
        <v>0</v>
      </c>
      <c r="AK345" s="59">
        <f t="shared" si="1599"/>
        <v>0</v>
      </c>
      <c r="AL345" s="59">
        <f t="shared" si="1599"/>
        <v>0</v>
      </c>
      <c r="AM345" s="59">
        <f t="shared" si="1599"/>
        <v>0</v>
      </c>
      <c r="AN345" s="59">
        <f t="shared" si="1599"/>
        <v>0</v>
      </c>
      <c r="AO345" s="59">
        <f t="shared" si="1599"/>
        <v>0</v>
      </c>
      <c r="AP345" s="59">
        <f t="shared" si="1599"/>
        <v>0</v>
      </c>
      <c r="AQ345" s="59">
        <f t="shared" si="1599"/>
        <v>0</v>
      </c>
      <c r="AR345" s="59">
        <f t="shared" si="1599"/>
        <v>0</v>
      </c>
      <c r="AS345" s="59">
        <f t="shared" si="1599"/>
        <v>0</v>
      </c>
      <c r="AT345" s="59">
        <f t="shared" si="1599"/>
        <v>0</v>
      </c>
      <c r="AU345" s="59">
        <f t="shared" si="1599"/>
        <v>0</v>
      </c>
      <c r="AV345" s="59">
        <f t="shared" si="1599"/>
        <v>0</v>
      </c>
      <c r="AW345" s="59">
        <f t="shared" si="1599"/>
        <v>0</v>
      </c>
      <c r="AX345" s="59">
        <f t="shared" si="1599"/>
        <v>0</v>
      </c>
      <c r="AY345" s="59">
        <f t="shared" si="1599"/>
        <v>0</v>
      </c>
      <c r="AZ345" s="59">
        <f t="shared" si="1599"/>
        <v>0</v>
      </c>
      <c r="BA345" s="59">
        <f t="shared" si="1599"/>
        <v>0</v>
      </c>
      <c r="BB345" s="59">
        <f t="shared" si="1599"/>
        <v>0</v>
      </c>
      <c r="BC345" s="59">
        <f t="shared" si="1599"/>
        <v>0</v>
      </c>
      <c r="BD345" s="59">
        <f t="shared" si="1599"/>
        <v>0</v>
      </c>
      <c r="BE345" s="59">
        <f t="shared" si="1599"/>
        <v>0</v>
      </c>
      <c r="BF345" s="59">
        <f t="shared" si="1599"/>
        <v>0</v>
      </c>
      <c r="BG345" s="59">
        <f t="shared" si="1599"/>
        <v>0</v>
      </c>
      <c r="BH345" s="59">
        <f t="shared" si="1599"/>
        <v>0</v>
      </c>
      <c r="BI345" s="59">
        <f t="shared" si="1599"/>
        <v>0</v>
      </c>
      <c r="BJ345" s="59">
        <f t="shared" si="1599"/>
        <v>0</v>
      </c>
      <c r="BK345" s="59">
        <f t="shared" si="1599"/>
        <v>0</v>
      </c>
      <c r="BL345" s="59">
        <f t="shared" si="1599"/>
        <v>0</v>
      </c>
      <c r="BM345" s="59">
        <f t="shared" si="1599"/>
        <v>0</v>
      </c>
      <c r="BN345" s="59">
        <f t="shared" si="1599"/>
        <v>0</v>
      </c>
      <c r="BO345" s="59">
        <f t="shared" si="1599"/>
        <v>0</v>
      </c>
      <c r="BP345" s="59">
        <f t="shared" si="1599"/>
        <v>0</v>
      </c>
      <c r="BQ345" s="59">
        <f t="shared" si="1599"/>
        <v>0</v>
      </c>
      <c r="BR345" s="59">
        <f t="shared" si="1599"/>
        <v>0</v>
      </c>
      <c r="BS345" s="59">
        <f t="shared" si="1599"/>
        <v>0</v>
      </c>
      <c r="BT345" s="59">
        <f t="shared" si="1599"/>
        <v>0</v>
      </c>
      <c r="BU345" s="59">
        <f t="shared" si="1599"/>
        <v>0</v>
      </c>
      <c r="BV345" s="59">
        <f t="shared" si="1599"/>
        <v>0</v>
      </c>
      <c r="BW345" s="59">
        <f t="shared" si="1599"/>
        <v>0</v>
      </c>
      <c r="BX345" s="1"/>
      <c r="BY345" s="1"/>
      <c r="BZ345" s="1"/>
      <c r="CA345" s="1"/>
      <c r="CB345" s="1"/>
      <c r="CC345" s="1"/>
      <c r="CD345" s="1"/>
      <c r="CE345" s="1"/>
      <c r="CF345" s="1"/>
      <c r="CG345" s="1"/>
    </row>
    <row r="346" spans="1:85" ht="15.75" customHeight="1">
      <c r="A346" s="84"/>
      <c r="B346" s="85"/>
      <c r="C346" s="86" t="s">
        <v>225</v>
      </c>
      <c r="D346" s="292" t="s">
        <v>645</v>
      </c>
      <c r="E346" s="70">
        <v>80000</v>
      </c>
      <c r="F346" s="71">
        <v>0</v>
      </c>
      <c r="G346" s="334">
        <f>E346-F346</f>
        <v>80000</v>
      </c>
      <c r="H346" s="335"/>
      <c r="I346" s="336">
        <f t="shared" si="1514"/>
        <v>0</v>
      </c>
      <c r="J346" s="72">
        <f t="shared" si="1515"/>
        <v>0</v>
      </c>
      <c r="K346" s="88"/>
      <c r="L346" s="74"/>
      <c r="M346" s="81"/>
      <c r="N346" s="88"/>
      <c r="O346" s="77">
        <f t="shared" ref="O346:Q346" si="1600">AA346+AD346+AG346+AJ346+AM346+AP346+AS346+AV346+AY346+BB346+BE346+BH346</f>
        <v>0</v>
      </c>
      <c r="P346" s="77">
        <f t="shared" si="1600"/>
        <v>0</v>
      </c>
      <c r="Q346" s="77">
        <f t="shared" si="1600"/>
        <v>0</v>
      </c>
      <c r="R346" s="77">
        <f t="shared" ref="R346:T346" si="1601">IF(BK346=0,SUM(AA346+AD346+AG346+AJ346+AM346+AP346+AS346+AV346+AY346+BB346+BE346+BH346),BK346)</f>
        <v>0</v>
      </c>
      <c r="S346" s="77">
        <f t="shared" si="1601"/>
        <v>0</v>
      </c>
      <c r="T346" s="77">
        <f t="shared" si="1601"/>
        <v>0</v>
      </c>
      <c r="U346" s="79">
        <f>K346-O346</f>
        <v>0</v>
      </c>
      <c r="V346" s="79">
        <f>L346-M346-S346</f>
        <v>0</v>
      </c>
      <c r="W346" s="79">
        <f>N346-Q346</f>
        <v>0</v>
      </c>
      <c r="X346" s="80">
        <f t="shared" ref="X346:Y346" si="1602">IF(O346&gt;0,O346/K346,0)</f>
        <v>0</v>
      </c>
      <c r="Y346" s="80">
        <f t="shared" si="1602"/>
        <v>0</v>
      </c>
      <c r="Z346" s="80">
        <f t="shared" si="1518"/>
        <v>0</v>
      </c>
      <c r="AA346" s="81"/>
      <c r="AB346" s="81"/>
      <c r="AC346" s="81"/>
      <c r="AD346" s="81"/>
      <c r="AE346" s="83"/>
      <c r="AF346" s="83"/>
      <c r="AG346" s="83"/>
      <c r="AH346" s="83"/>
      <c r="AI346" s="81"/>
      <c r="AJ346" s="81"/>
      <c r="AK346" s="81"/>
      <c r="AL346" s="81"/>
      <c r="AM346" s="81"/>
      <c r="AN346" s="81"/>
      <c r="AO346" s="81"/>
      <c r="AP346" s="81"/>
      <c r="AQ346" s="81"/>
      <c r="AR346" s="81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1"/>
      <c r="BE346" s="81"/>
      <c r="BF346" s="81"/>
      <c r="BG346" s="81"/>
      <c r="BH346" s="81"/>
      <c r="BI346" s="81"/>
      <c r="BJ346" s="81"/>
      <c r="BK346" s="82">
        <v>0</v>
      </c>
      <c r="BL346" s="82">
        <v>0</v>
      </c>
      <c r="BM346" s="82">
        <v>0</v>
      </c>
      <c r="BN346" s="81">
        <f>IF(O346-BK346&gt;0,O346-BK346,0)</f>
        <v>0</v>
      </c>
      <c r="BO346" s="75">
        <f>IF(Q346-BM346&gt;0,Q346-BM346,0)</f>
        <v>0</v>
      </c>
      <c r="BP346" s="81">
        <f>IF(BN346+BO346&gt;0,BN346+BO346,0)</f>
        <v>0</v>
      </c>
      <c r="BQ346" s="81">
        <f>IF(U346=0,0,U346)</f>
        <v>0</v>
      </c>
      <c r="BR346" s="81">
        <f>IF(W346=0,0,W346)</f>
        <v>0</v>
      </c>
      <c r="BS346" s="81">
        <f>IF(BQ346+BR346&gt;0,BQ346+BR346,0)</f>
        <v>0</v>
      </c>
      <c r="BT346" s="81">
        <f>IF(V346&gt;0,V346,0)</f>
        <v>0</v>
      </c>
      <c r="BU346" s="81">
        <f>IF(BP346=0,0,BP346)</f>
        <v>0</v>
      </c>
      <c r="BV346" s="81">
        <f>IF(BS346=0,0,BS346)</f>
        <v>0</v>
      </c>
      <c r="BW346" s="81">
        <f>IF(BP346+BT346+BV346&gt;0,BP346+BT346+BV346,0)</f>
        <v>0</v>
      </c>
      <c r="BX346" s="1"/>
      <c r="BY346" s="1"/>
      <c r="BZ346" s="1"/>
      <c r="CA346" s="1"/>
      <c r="CB346" s="1"/>
      <c r="CC346" s="1"/>
      <c r="CD346" s="1"/>
      <c r="CE346" s="1"/>
      <c r="CF346" s="1"/>
      <c r="CG346" s="1"/>
    </row>
    <row r="347" spans="1:85" ht="15.75">
      <c r="A347" s="270"/>
      <c r="B347" s="271"/>
      <c r="C347" s="272"/>
      <c r="D347" s="112" t="s">
        <v>251</v>
      </c>
      <c r="E347" s="286">
        <f t="shared" ref="E347:H347" si="1603">SUM(E348:E349)</f>
        <v>20000</v>
      </c>
      <c r="F347" s="286">
        <f t="shared" si="1603"/>
        <v>0</v>
      </c>
      <c r="G347" s="286">
        <f t="shared" si="1603"/>
        <v>20000</v>
      </c>
      <c r="H347" s="286">
        <f t="shared" si="1603"/>
        <v>0</v>
      </c>
      <c r="I347" s="287">
        <f t="shared" si="1514"/>
        <v>0.52349999999999997</v>
      </c>
      <c r="J347" s="287">
        <f t="shared" si="1515"/>
        <v>0.52349999999999997</v>
      </c>
      <c r="K347" s="286">
        <f t="shared" ref="K347:W347" si="1604">SUM(K348:K349)</f>
        <v>10470</v>
      </c>
      <c r="L347" s="286">
        <f t="shared" si="1604"/>
        <v>0</v>
      </c>
      <c r="M347" s="286">
        <f t="shared" si="1604"/>
        <v>0</v>
      </c>
      <c r="N347" s="286">
        <f t="shared" si="1604"/>
        <v>0</v>
      </c>
      <c r="O347" s="286">
        <f t="shared" si="1604"/>
        <v>10470</v>
      </c>
      <c r="P347" s="286">
        <f t="shared" si="1604"/>
        <v>0</v>
      </c>
      <c r="Q347" s="286">
        <f t="shared" si="1604"/>
        <v>0</v>
      </c>
      <c r="R347" s="286">
        <f t="shared" si="1604"/>
        <v>10470</v>
      </c>
      <c r="S347" s="286">
        <f t="shared" si="1604"/>
        <v>0</v>
      </c>
      <c r="T347" s="286">
        <f t="shared" si="1604"/>
        <v>0</v>
      </c>
      <c r="U347" s="286">
        <f t="shared" si="1604"/>
        <v>0</v>
      </c>
      <c r="V347" s="286">
        <f t="shared" si="1604"/>
        <v>0</v>
      </c>
      <c r="W347" s="286">
        <f t="shared" si="1604"/>
        <v>0</v>
      </c>
      <c r="X347" s="288">
        <f t="shared" ref="X347:Y347" si="1605">IF(O347&gt;0,O347/K347,0)</f>
        <v>1</v>
      </c>
      <c r="Y347" s="288">
        <f t="shared" si="1605"/>
        <v>0</v>
      </c>
      <c r="Z347" s="288">
        <f t="shared" si="1518"/>
        <v>0</v>
      </c>
      <c r="AA347" s="286">
        <f t="shared" ref="AA347:BW347" si="1606">SUM(AA348:AA349)</f>
        <v>0</v>
      </c>
      <c r="AB347" s="286">
        <f t="shared" si="1606"/>
        <v>0</v>
      </c>
      <c r="AC347" s="286">
        <f t="shared" si="1606"/>
        <v>0</v>
      </c>
      <c r="AD347" s="286">
        <f t="shared" si="1606"/>
        <v>0</v>
      </c>
      <c r="AE347" s="286">
        <f t="shared" si="1606"/>
        <v>0</v>
      </c>
      <c r="AF347" s="286">
        <f t="shared" si="1606"/>
        <v>0</v>
      </c>
      <c r="AG347" s="286">
        <f t="shared" si="1606"/>
        <v>0</v>
      </c>
      <c r="AH347" s="286">
        <f t="shared" si="1606"/>
        <v>0</v>
      </c>
      <c r="AI347" s="286">
        <f t="shared" si="1606"/>
        <v>0</v>
      </c>
      <c r="AJ347" s="286">
        <f t="shared" si="1606"/>
        <v>0</v>
      </c>
      <c r="AK347" s="286">
        <f t="shared" si="1606"/>
        <v>0</v>
      </c>
      <c r="AL347" s="286">
        <f t="shared" si="1606"/>
        <v>0</v>
      </c>
      <c r="AM347" s="286">
        <f t="shared" si="1606"/>
        <v>0</v>
      </c>
      <c r="AN347" s="286">
        <f t="shared" si="1606"/>
        <v>0</v>
      </c>
      <c r="AO347" s="286">
        <f t="shared" si="1606"/>
        <v>0</v>
      </c>
      <c r="AP347" s="286">
        <f t="shared" si="1606"/>
        <v>4535</v>
      </c>
      <c r="AQ347" s="286">
        <f t="shared" si="1606"/>
        <v>0</v>
      </c>
      <c r="AR347" s="286">
        <f t="shared" si="1606"/>
        <v>0</v>
      </c>
      <c r="AS347" s="286">
        <f t="shared" si="1606"/>
        <v>0</v>
      </c>
      <c r="AT347" s="286">
        <f t="shared" si="1606"/>
        <v>0</v>
      </c>
      <c r="AU347" s="286">
        <f t="shared" si="1606"/>
        <v>0</v>
      </c>
      <c r="AV347" s="286">
        <f t="shared" si="1606"/>
        <v>0</v>
      </c>
      <c r="AW347" s="286">
        <f t="shared" si="1606"/>
        <v>0</v>
      </c>
      <c r="AX347" s="286">
        <f t="shared" si="1606"/>
        <v>0</v>
      </c>
      <c r="AY347" s="286">
        <f t="shared" si="1606"/>
        <v>0</v>
      </c>
      <c r="AZ347" s="286">
        <f t="shared" si="1606"/>
        <v>0</v>
      </c>
      <c r="BA347" s="286">
        <f t="shared" si="1606"/>
        <v>0</v>
      </c>
      <c r="BB347" s="286">
        <f t="shared" si="1606"/>
        <v>5935</v>
      </c>
      <c r="BC347" s="286">
        <f t="shared" si="1606"/>
        <v>0</v>
      </c>
      <c r="BD347" s="286">
        <f t="shared" si="1606"/>
        <v>0</v>
      </c>
      <c r="BE347" s="286">
        <f t="shared" si="1606"/>
        <v>0</v>
      </c>
      <c r="BF347" s="286">
        <f t="shared" si="1606"/>
        <v>0</v>
      </c>
      <c r="BG347" s="286">
        <f t="shared" si="1606"/>
        <v>0</v>
      </c>
      <c r="BH347" s="286">
        <f t="shared" si="1606"/>
        <v>0</v>
      </c>
      <c r="BI347" s="286">
        <f t="shared" si="1606"/>
        <v>0</v>
      </c>
      <c r="BJ347" s="286">
        <f t="shared" si="1606"/>
        <v>0</v>
      </c>
      <c r="BK347" s="286">
        <f t="shared" si="1606"/>
        <v>10470</v>
      </c>
      <c r="BL347" s="286">
        <f t="shared" si="1606"/>
        <v>0</v>
      </c>
      <c r="BM347" s="286">
        <f t="shared" si="1606"/>
        <v>0</v>
      </c>
      <c r="BN347" s="286">
        <f t="shared" si="1606"/>
        <v>0</v>
      </c>
      <c r="BO347" s="286">
        <f t="shared" si="1606"/>
        <v>0</v>
      </c>
      <c r="BP347" s="286">
        <f t="shared" si="1606"/>
        <v>0</v>
      </c>
      <c r="BQ347" s="286">
        <f t="shared" si="1606"/>
        <v>0</v>
      </c>
      <c r="BR347" s="286">
        <f t="shared" si="1606"/>
        <v>0</v>
      </c>
      <c r="BS347" s="286">
        <f t="shared" si="1606"/>
        <v>0</v>
      </c>
      <c r="BT347" s="286">
        <f t="shared" si="1606"/>
        <v>0</v>
      </c>
      <c r="BU347" s="286">
        <f t="shared" si="1606"/>
        <v>0</v>
      </c>
      <c r="BV347" s="286">
        <f t="shared" si="1606"/>
        <v>0</v>
      </c>
      <c r="BW347" s="286">
        <f t="shared" si="1606"/>
        <v>0</v>
      </c>
      <c r="BX347" s="1"/>
      <c r="BY347" s="1"/>
      <c r="BZ347" s="1"/>
      <c r="CA347" s="1"/>
      <c r="CB347" s="1"/>
      <c r="CC347" s="1"/>
      <c r="CD347" s="1"/>
      <c r="CE347" s="1"/>
      <c r="CF347" s="1"/>
      <c r="CG347" s="1"/>
    </row>
    <row r="348" spans="1:85" ht="15.75" customHeight="1">
      <c r="A348" s="125" t="s">
        <v>646</v>
      </c>
      <c r="B348" s="85"/>
      <c r="C348" s="86" t="s">
        <v>418</v>
      </c>
      <c r="D348" s="126" t="s">
        <v>647</v>
      </c>
      <c r="E348" s="70">
        <v>10000</v>
      </c>
      <c r="F348" s="71"/>
      <c r="G348" s="70">
        <f t="shared" ref="G348:G349" si="1607">E348-F348</f>
        <v>10000</v>
      </c>
      <c r="H348" s="127"/>
      <c r="I348" s="72">
        <f t="shared" si="1514"/>
        <v>1.0469999999999999</v>
      </c>
      <c r="J348" s="72">
        <f t="shared" si="1515"/>
        <v>1.0469999999999999</v>
      </c>
      <c r="K348" s="73">
        <f>10990-520</f>
        <v>10470</v>
      </c>
      <c r="L348" s="74"/>
      <c r="M348" s="81"/>
      <c r="N348" s="88"/>
      <c r="O348" s="77">
        <f t="shared" ref="O348:Q348" si="1608">AA348+AD348+AG348+AJ348+AM348+AP348+AS348+AV348+AY348+BB348+BE348+BH348</f>
        <v>10470</v>
      </c>
      <c r="P348" s="77">
        <f t="shared" si="1608"/>
        <v>0</v>
      </c>
      <c r="Q348" s="77">
        <f t="shared" si="1608"/>
        <v>0</v>
      </c>
      <c r="R348" s="77">
        <f t="shared" ref="R348:T348" si="1609">IF(BK348=0,SUM(AA348+AD348+AG348+AJ348+AM348+AP348+AS348+AV348+AY348+BB348+BE348+BH348),BK348)</f>
        <v>10470</v>
      </c>
      <c r="S348" s="77">
        <f t="shared" si="1609"/>
        <v>0</v>
      </c>
      <c r="T348" s="77">
        <f t="shared" si="1609"/>
        <v>0</v>
      </c>
      <c r="U348" s="78">
        <f t="shared" ref="U348:U349" si="1610">K348-O348</f>
        <v>0</v>
      </c>
      <c r="V348" s="79">
        <f t="shared" ref="V348:V349" si="1611">L348-M348-S348</f>
        <v>0</v>
      </c>
      <c r="W348" s="79">
        <f t="shared" ref="W348:W349" si="1612">N348-Q348</f>
        <v>0</v>
      </c>
      <c r="X348" s="80">
        <f t="shared" ref="X348:Y348" si="1613">IF(O348&gt;0,O348/K348,0)</f>
        <v>1</v>
      </c>
      <c r="Y348" s="80">
        <f t="shared" si="1613"/>
        <v>0</v>
      </c>
      <c r="Z348" s="80">
        <f t="shared" si="1518"/>
        <v>0</v>
      </c>
      <c r="AA348" s="81"/>
      <c r="AB348" s="81"/>
      <c r="AC348" s="81"/>
      <c r="AD348" s="81"/>
      <c r="AE348" s="83"/>
      <c r="AF348" s="83"/>
      <c r="AG348" s="83"/>
      <c r="AH348" s="83"/>
      <c r="AI348" s="81"/>
      <c r="AJ348" s="81"/>
      <c r="AK348" s="81"/>
      <c r="AL348" s="81"/>
      <c r="AM348" s="81"/>
      <c r="AN348" s="81"/>
      <c r="AO348" s="81"/>
      <c r="AP348" s="82">
        <v>4535</v>
      </c>
      <c r="AQ348" s="81"/>
      <c r="AR348" s="81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>
        <f>5935</f>
        <v>5935</v>
      </c>
      <c r="BC348" s="81"/>
      <c r="BD348" s="81"/>
      <c r="BE348" s="81"/>
      <c r="BF348" s="81"/>
      <c r="BG348" s="81"/>
      <c r="BH348" s="81"/>
      <c r="BI348" s="81"/>
      <c r="BJ348" s="81"/>
      <c r="BK348" s="82">
        <v>10470</v>
      </c>
      <c r="BL348" s="82">
        <v>0</v>
      </c>
      <c r="BM348" s="82">
        <v>0</v>
      </c>
      <c r="BN348" s="81">
        <f t="shared" ref="BN348:BN349" si="1614">IF(O348-BK348&gt;0,O348-BK348,0)</f>
        <v>0</v>
      </c>
      <c r="BO348" s="75">
        <f t="shared" ref="BO348:BO349" si="1615">IF(Q348-BM348&gt;0,Q348-BM348,0)</f>
        <v>0</v>
      </c>
      <c r="BP348" s="81">
        <f t="shared" ref="BP348:BP349" si="1616">IF(BN348+BO348&gt;0,BN348+BO348,0)</f>
        <v>0</v>
      </c>
      <c r="BQ348" s="81">
        <f t="shared" ref="BQ348:BQ349" si="1617">IF(U348=0,0,U348)</f>
        <v>0</v>
      </c>
      <c r="BR348" s="81">
        <f t="shared" ref="BR348:BR349" si="1618">IF(W348=0,0,W348)</f>
        <v>0</v>
      </c>
      <c r="BS348" s="81">
        <f t="shared" ref="BS348:BS349" si="1619">IF(BQ348+BR348&gt;0,BQ348+BR348,0)</f>
        <v>0</v>
      </c>
      <c r="BT348" s="81">
        <f t="shared" ref="BT348:BT349" si="1620">IF(V348&gt;0,V348,0)</f>
        <v>0</v>
      </c>
      <c r="BU348" s="81">
        <f t="shared" ref="BU348:BU349" si="1621">IF(BP348=0,0,BP348)</f>
        <v>0</v>
      </c>
      <c r="BV348" s="81">
        <f t="shared" ref="BV348:BV349" si="1622">IF(BS348=0,0,BS348)</f>
        <v>0</v>
      </c>
      <c r="BW348" s="81">
        <f t="shared" ref="BW348:BW349" si="1623">IF(BP348+BT348+BV348&gt;0,BP348+BT348+BV348,0)</f>
        <v>0</v>
      </c>
      <c r="BX348" s="1"/>
      <c r="BY348" s="1"/>
      <c r="BZ348" s="1"/>
      <c r="CA348" s="1"/>
      <c r="CB348" s="1"/>
      <c r="CC348" s="1"/>
      <c r="CD348" s="1"/>
      <c r="CE348" s="1"/>
      <c r="CF348" s="1"/>
      <c r="CG348" s="1"/>
    </row>
    <row r="349" spans="1:85" ht="15.75" customHeight="1">
      <c r="A349" s="84"/>
      <c r="B349" s="85"/>
      <c r="C349" s="86" t="s">
        <v>307</v>
      </c>
      <c r="D349" s="87" t="s">
        <v>648</v>
      </c>
      <c r="E349" s="70">
        <v>10000</v>
      </c>
      <c r="F349" s="71"/>
      <c r="G349" s="70">
        <f t="shared" si="1607"/>
        <v>10000</v>
      </c>
      <c r="H349" s="70"/>
      <c r="I349" s="72">
        <f t="shared" si="1514"/>
        <v>0</v>
      </c>
      <c r="J349" s="72">
        <f t="shared" si="1515"/>
        <v>0</v>
      </c>
      <c r="K349" s="88"/>
      <c r="L349" s="74"/>
      <c r="M349" s="81"/>
      <c r="N349" s="88"/>
      <c r="O349" s="77">
        <f t="shared" ref="O349:Q349" si="1624">AA349+AD349+AG349+AJ349+AM349+AP349+AS349+AV349+AY349+BB349+BE349+BH349</f>
        <v>0</v>
      </c>
      <c r="P349" s="77">
        <f t="shared" si="1624"/>
        <v>0</v>
      </c>
      <c r="Q349" s="77">
        <f t="shared" si="1624"/>
        <v>0</v>
      </c>
      <c r="R349" s="77">
        <f t="shared" ref="R349:T349" si="1625">IF(BK349=0,SUM(AA349+AD349+AG349+AJ349+AM349+AP349+AS349+AV349+AY349+BB349+BE349+BH349),BK349)</f>
        <v>0</v>
      </c>
      <c r="S349" s="77">
        <f t="shared" si="1625"/>
        <v>0</v>
      </c>
      <c r="T349" s="77">
        <f t="shared" si="1625"/>
        <v>0</v>
      </c>
      <c r="U349" s="79">
        <f t="shared" si="1610"/>
        <v>0</v>
      </c>
      <c r="V349" s="79">
        <f t="shared" si="1611"/>
        <v>0</v>
      </c>
      <c r="W349" s="79">
        <f t="shared" si="1612"/>
        <v>0</v>
      </c>
      <c r="X349" s="80">
        <f t="shared" ref="X349:Y349" si="1626">IF(O349&gt;0,O349/K349,0)</f>
        <v>0</v>
      </c>
      <c r="Y349" s="80">
        <f t="shared" si="1626"/>
        <v>0</v>
      </c>
      <c r="Z349" s="80">
        <f t="shared" si="1518"/>
        <v>0</v>
      </c>
      <c r="AA349" s="81"/>
      <c r="AB349" s="81"/>
      <c r="AC349" s="81"/>
      <c r="AD349" s="81"/>
      <c r="AE349" s="83"/>
      <c r="AF349" s="83"/>
      <c r="AG349" s="83"/>
      <c r="AH349" s="83"/>
      <c r="AI349" s="81"/>
      <c r="AJ349" s="81"/>
      <c r="AK349" s="81"/>
      <c r="AL349" s="81"/>
      <c r="AM349" s="81"/>
      <c r="AN349" s="81"/>
      <c r="AO349" s="81"/>
      <c r="AP349" s="81"/>
      <c r="AQ349" s="81"/>
      <c r="AR349" s="81"/>
      <c r="AS349" s="81"/>
      <c r="AT349" s="81"/>
      <c r="AU349" s="81"/>
      <c r="AV349" s="81"/>
      <c r="AW349" s="81"/>
      <c r="AX349" s="81"/>
      <c r="AY349" s="81"/>
      <c r="AZ349" s="81"/>
      <c r="BA349" s="81"/>
      <c r="BB349" s="81"/>
      <c r="BC349" s="81"/>
      <c r="BD349" s="81"/>
      <c r="BE349" s="81"/>
      <c r="BF349" s="81"/>
      <c r="BG349" s="81"/>
      <c r="BH349" s="81"/>
      <c r="BI349" s="81"/>
      <c r="BJ349" s="81"/>
      <c r="BK349" s="82">
        <v>0</v>
      </c>
      <c r="BL349" s="82">
        <v>0</v>
      </c>
      <c r="BM349" s="82">
        <v>0</v>
      </c>
      <c r="BN349" s="81">
        <f t="shared" si="1614"/>
        <v>0</v>
      </c>
      <c r="BO349" s="75">
        <f t="shared" si="1615"/>
        <v>0</v>
      </c>
      <c r="BP349" s="81">
        <f t="shared" si="1616"/>
        <v>0</v>
      </c>
      <c r="BQ349" s="81">
        <f t="shared" si="1617"/>
        <v>0</v>
      </c>
      <c r="BR349" s="81">
        <f t="shared" si="1618"/>
        <v>0</v>
      </c>
      <c r="BS349" s="81">
        <f t="shared" si="1619"/>
        <v>0</v>
      </c>
      <c r="BT349" s="81">
        <f t="shared" si="1620"/>
        <v>0</v>
      </c>
      <c r="BU349" s="81">
        <f t="shared" si="1621"/>
        <v>0</v>
      </c>
      <c r="BV349" s="81">
        <f t="shared" si="1622"/>
        <v>0</v>
      </c>
      <c r="BW349" s="81">
        <f t="shared" si="1623"/>
        <v>0</v>
      </c>
      <c r="BX349" s="1"/>
      <c r="BY349" s="1"/>
      <c r="BZ349" s="1"/>
      <c r="CA349" s="1"/>
      <c r="CB349" s="1"/>
      <c r="CC349" s="1"/>
      <c r="CD349" s="1"/>
      <c r="CE349" s="1"/>
      <c r="CF349" s="1"/>
      <c r="CG349" s="1"/>
    </row>
    <row r="350" spans="1:85" ht="15.75" customHeight="1">
      <c r="A350" s="270"/>
      <c r="B350" s="271"/>
      <c r="C350" s="272"/>
      <c r="D350" s="112" t="s">
        <v>320</v>
      </c>
      <c r="E350" s="58">
        <f t="shared" ref="E350:H350" si="1627">E351</f>
        <v>0</v>
      </c>
      <c r="F350" s="59">
        <f t="shared" si="1627"/>
        <v>0</v>
      </c>
      <c r="G350" s="59">
        <f t="shared" si="1627"/>
        <v>0</v>
      </c>
      <c r="H350" s="59">
        <f t="shared" si="1627"/>
        <v>0</v>
      </c>
      <c r="I350" s="60">
        <f t="shared" si="1514"/>
        <v>0</v>
      </c>
      <c r="J350" s="60">
        <f t="shared" si="1515"/>
        <v>0</v>
      </c>
      <c r="K350" s="59">
        <f t="shared" ref="K350:W350" si="1628">K351</f>
        <v>0</v>
      </c>
      <c r="L350" s="59">
        <f t="shared" si="1628"/>
        <v>0</v>
      </c>
      <c r="M350" s="59">
        <f t="shared" si="1628"/>
        <v>0</v>
      </c>
      <c r="N350" s="59">
        <f t="shared" si="1628"/>
        <v>0</v>
      </c>
      <c r="O350" s="59">
        <f t="shared" si="1628"/>
        <v>0</v>
      </c>
      <c r="P350" s="59">
        <f t="shared" si="1628"/>
        <v>0</v>
      </c>
      <c r="Q350" s="59">
        <f t="shared" si="1628"/>
        <v>0</v>
      </c>
      <c r="R350" s="59">
        <f t="shared" si="1628"/>
        <v>0</v>
      </c>
      <c r="S350" s="59">
        <f t="shared" si="1628"/>
        <v>0</v>
      </c>
      <c r="T350" s="59">
        <f t="shared" si="1628"/>
        <v>0</v>
      </c>
      <c r="U350" s="59">
        <f t="shared" si="1628"/>
        <v>0</v>
      </c>
      <c r="V350" s="59">
        <f t="shared" si="1628"/>
        <v>0</v>
      </c>
      <c r="W350" s="59">
        <f t="shared" si="1628"/>
        <v>0</v>
      </c>
      <c r="X350" s="63">
        <f t="shared" ref="X350:Y350" si="1629">IF(O350&gt;0,O350/K350,0)</f>
        <v>0</v>
      </c>
      <c r="Y350" s="63">
        <f t="shared" si="1629"/>
        <v>0</v>
      </c>
      <c r="Z350" s="63">
        <f t="shared" si="1518"/>
        <v>0</v>
      </c>
      <c r="AA350" s="59">
        <f t="shared" ref="AA350:BW350" si="1630">AA351</f>
        <v>0</v>
      </c>
      <c r="AB350" s="59">
        <f t="shared" si="1630"/>
        <v>0</v>
      </c>
      <c r="AC350" s="59">
        <f t="shared" si="1630"/>
        <v>0</v>
      </c>
      <c r="AD350" s="59">
        <f t="shared" si="1630"/>
        <v>0</v>
      </c>
      <c r="AE350" s="59">
        <f t="shared" si="1630"/>
        <v>0</v>
      </c>
      <c r="AF350" s="59">
        <f t="shared" si="1630"/>
        <v>0</v>
      </c>
      <c r="AG350" s="59">
        <f t="shared" si="1630"/>
        <v>0</v>
      </c>
      <c r="AH350" s="59">
        <f t="shared" si="1630"/>
        <v>0</v>
      </c>
      <c r="AI350" s="59">
        <f t="shared" si="1630"/>
        <v>0</v>
      </c>
      <c r="AJ350" s="59">
        <f t="shared" si="1630"/>
        <v>0</v>
      </c>
      <c r="AK350" s="59">
        <f t="shared" si="1630"/>
        <v>0</v>
      </c>
      <c r="AL350" s="59">
        <f t="shared" si="1630"/>
        <v>0</v>
      </c>
      <c r="AM350" s="59">
        <f t="shared" si="1630"/>
        <v>0</v>
      </c>
      <c r="AN350" s="59">
        <f t="shared" si="1630"/>
        <v>0</v>
      </c>
      <c r="AO350" s="59">
        <f t="shared" si="1630"/>
        <v>0</v>
      </c>
      <c r="AP350" s="59">
        <f t="shared" si="1630"/>
        <v>0</v>
      </c>
      <c r="AQ350" s="59">
        <f t="shared" si="1630"/>
        <v>0</v>
      </c>
      <c r="AR350" s="59">
        <f t="shared" si="1630"/>
        <v>0</v>
      </c>
      <c r="AS350" s="59">
        <f t="shared" si="1630"/>
        <v>0</v>
      </c>
      <c r="AT350" s="59">
        <f t="shared" si="1630"/>
        <v>0</v>
      </c>
      <c r="AU350" s="59">
        <f t="shared" si="1630"/>
        <v>0</v>
      </c>
      <c r="AV350" s="59">
        <f t="shared" si="1630"/>
        <v>0</v>
      </c>
      <c r="AW350" s="59">
        <f t="shared" si="1630"/>
        <v>0</v>
      </c>
      <c r="AX350" s="59">
        <f t="shared" si="1630"/>
        <v>0</v>
      </c>
      <c r="AY350" s="59">
        <f t="shared" si="1630"/>
        <v>0</v>
      </c>
      <c r="AZ350" s="59">
        <f t="shared" si="1630"/>
        <v>0</v>
      </c>
      <c r="BA350" s="59">
        <f t="shared" si="1630"/>
        <v>0</v>
      </c>
      <c r="BB350" s="59">
        <f t="shared" si="1630"/>
        <v>0</v>
      </c>
      <c r="BC350" s="59">
        <f t="shared" si="1630"/>
        <v>0</v>
      </c>
      <c r="BD350" s="59">
        <f t="shared" si="1630"/>
        <v>0</v>
      </c>
      <c r="BE350" s="59">
        <f t="shared" si="1630"/>
        <v>0</v>
      </c>
      <c r="BF350" s="59">
        <f t="shared" si="1630"/>
        <v>0</v>
      </c>
      <c r="BG350" s="59">
        <f t="shared" si="1630"/>
        <v>0</v>
      </c>
      <c r="BH350" s="59">
        <f t="shared" si="1630"/>
        <v>0</v>
      </c>
      <c r="BI350" s="59">
        <f t="shared" si="1630"/>
        <v>0</v>
      </c>
      <c r="BJ350" s="59">
        <f t="shared" si="1630"/>
        <v>0</v>
      </c>
      <c r="BK350" s="59">
        <f t="shared" si="1630"/>
        <v>0</v>
      </c>
      <c r="BL350" s="59">
        <f t="shared" si="1630"/>
        <v>0</v>
      </c>
      <c r="BM350" s="59">
        <f t="shared" si="1630"/>
        <v>0</v>
      </c>
      <c r="BN350" s="59">
        <f t="shared" si="1630"/>
        <v>0</v>
      </c>
      <c r="BO350" s="59">
        <f t="shared" si="1630"/>
        <v>0</v>
      </c>
      <c r="BP350" s="59">
        <f t="shared" si="1630"/>
        <v>0</v>
      </c>
      <c r="BQ350" s="59">
        <f t="shared" si="1630"/>
        <v>0</v>
      </c>
      <c r="BR350" s="59">
        <f t="shared" si="1630"/>
        <v>0</v>
      </c>
      <c r="BS350" s="59">
        <f t="shared" si="1630"/>
        <v>0</v>
      </c>
      <c r="BT350" s="59">
        <f t="shared" si="1630"/>
        <v>0</v>
      </c>
      <c r="BU350" s="59">
        <f t="shared" si="1630"/>
        <v>0</v>
      </c>
      <c r="BV350" s="59">
        <f t="shared" si="1630"/>
        <v>0</v>
      </c>
      <c r="BW350" s="59">
        <f t="shared" si="1630"/>
        <v>0</v>
      </c>
      <c r="BX350" s="1"/>
      <c r="BY350" s="1"/>
      <c r="BZ350" s="1"/>
      <c r="CA350" s="1"/>
      <c r="CB350" s="1"/>
      <c r="CC350" s="1"/>
      <c r="CD350" s="1"/>
      <c r="CE350" s="1"/>
      <c r="CF350" s="1"/>
      <c r="CG350" s="1"/>
    </row>
    <row r="351" spans="1:85" ht="15.75" customHeight="1">
      <c r="A351" s="337" t="s">
        <v>649</v>
      </c>
      <c r="B351" s="254"/>
      <c r="C351" s="338" t="s">
        <v>323</v>
      </c>
      <c r="D351" s="179" t="s">
        <v>650</v>
      </c>
      <c r="E351" s="168"/>
      <c r="F351" s="169"/>
      <c r="G351" s="70">
        <f>E351-F351</f>
        <v>0</v>
      </c>
      <c r="H351" s="70"/>
      <c r="I351" s="72">
        <f t="shared" si="1514"/>
        <v>0</v>
      </c>
      <c r="J351" s="72">
        <f t="shared" si="1515"/>
        <v>0</v>
      </c>
      <c r="K351" s="88">
        <f>144304-17110-127194</f>
        <v>0</v>
      </c>
      <c r="L351" s="120"/>
      <c r="M351" s="170"/>
      <c r="N351" s="107"/>
      <c r="O351" s="77">
        <f t="shared" ref="O351:Q351" si="1631">AA351+AD351+AG351+AJ351+AM351+AP351+AS351+AV351+AY351+BB351+BE351+BH351</f>
        <v>0</v>
      </c>
      <c r="P351" s="77">
        <f t="shared" si="1631"/>
        <v>0</v>
      </c>
      <c r="Q351" s="77">
        <f t="shared" si="1631"/>
        <v>0</v>
      </c>
      <c r="R351" s="77">
        <f t="shared" ref="R351:T351" si="1632">IF(BK351=0,SUM(AA351+AD351+AG351+AJ351+AM351+AP351+AS351+AV351+AY351+BB351+BE351+BH351),BK351)</f>
        <v>0</v>
      </c>
      <c r="S351" s="77">
        <f t="shared" si="1632"/>
        <v>0</v>
      </c>
      <c r="T351" s="77">
        <f t="shared" si="1632"/>
        <v>0</v>
      </c>
      <c r="U351" s="79">
        <f>K351-O351</f>
        <v>0</v>
      </c>
      <c r="V351" s="79">
        <f>L351-M351-S351</f>
        <v>0</v>
      </c>
      <c r="W351" s="79">
        <f>N351-Q351</f>
        <v>0</v>
      </c>
      <c r="X351" s="80">
        <f t="shared" ref="X351:Y351" si="1633">IF(O351&gt;0,O351/K351,0)</f>
        <v>0</v>
      </c>
      <c r="Y351" s="80">
        <f t="shared" si="1633"/>
        <v>0</v>
      </c>
      <c r="Z351" s="80">
        <f t="shared" si="1518"/>
        <v>0</v>
      </c>
      <c r="AA351" s="81"/>
      <c r="AB351" s="339"/>
      <c r="AC351" s="81"/>
      <c r="AD351" s="81"/>
      <c r="AE351" s="128"/>
      <c r="AF351" s="83"/>
      <c r="AG351" s="83"/>
      <c r="AH351" s="83"/>
      <c r="AI351" s="81"/>
      <c r="AJ351" s="81"/>
      <c r="AK351" s="81"/>
      <c r="AL351" s="81"/>
      <c r="AM351" s="81"/>
      <c r="AN351" s="82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1"/>
      <c r="AZ351" s="81"/>
      <c r="BA351" s="81"/>
      <c r="BB351" s="81"/>
      <c r="BC351" s="81"/>
      <c r="BD351" s="81"/>
      <c r="BE351" s="81"/>
      <c r="BF351" s="81"/>
      <c r="BG351" s="81"/>
      <c r="BH351" s="81"/>
      <c r="BI351" s="81"/>
      <c r="BJ351" s="81"/>
      <c r="BK351" s="82">
        <v>0</v>
      </c>
      <c r="BL351" s="82">
        <v>0</v>
      </c>
      <c r="BM351" s="82">
        <v>0</v>
      </c>
      <c r="BN351" s="81">
        <f>IF(O351-BK351&gt;0,O351-BK351,0)</f>
        <v>0</v>
      </c>
      <c r="BO351" s="75">
        <f>IF(Q351-BM351&gt;0,Q351-BM351,0)</f>
        <v>0</v>
      </c>
      <c r="BP351" s="81">
        <f>IF(BN351+BO351&gt;0,BN351+BO351,0)</f>
        <v>0</v>
      </c>
      <c r="BQ351" s="81">
        <f>IF(U351=0,0,U351)</f>
        <v>0</v>
      </c>
      <c r="BR351" s="81">
        <f>IF(W351=0,0,W351)</f>
        <v>0</v>
      </c>
      <c r="BS351" s="81">
        <f>IF(BQ351+BR351&gt;0,BQ351+BR351,0)</f>
        <v>0</v>
      </c>
      <c r="BT351" s="81">
        <f>IF(V351&gt;0,V351,0)</f>
        <v>0</v>
      </c>
      <c r="BU351" s="81">
        <f>IF(BP351=0,0,BP351)</f>
        <v>0</v>
      </c>
      <c r="BV351" s="81">
        <f>IF(BS351=0,0,BS351)</f>
        <v>0</v>
      </c>
      <c r="BW351" s="81">
        <f>IF(BP351+BT351+BV351&gt;0,BP351+BT351+BV351,0)</f>
        <v>0</v>
      </c>
      <c r="BX351" s="1"/>
      <c r="BY351" s="1"/>
      <c r="BZ351" s="1"/>
      <c r="CA351" s="1"/>
      <c r="CB351" s="1"/>
      <c r="CC351" s="1"/>
      <c r="CD351" s="1"/>
      <c r="CE351" s="1"/>
      <c r="CF351" s="1"/>
      <c r="CG351" s="1"/>
    </row>
    <row r="352" spans="1:85" ht="15.75">
      <c r="A352" s="109"/>
      <c r="B352" s="110"/>
      <c r="C352" s="111"/>
      <c r="D352" s="112" t="s">
        <v>397</v>
      </c>
      <c r="E352" s="58">
        <f t="shared" ref="E352:H352" si="1634">SUM(E353+E356)</f>
        <v>104443.26</v>
      </c>
      <c r="F352" s="58">
        <f t="shared" si="1634"/>
        <v>25227.3</v>
      </c>
      <c r="G352" s="58">
        <f t="shared" si="1634"/>
        <v>79215.959999999992</v>
      </c>
      <c r="H352" s="58">
        <f t="shared" si="1634"/>
        <v>0</v>
      </c>
      <c r="I352" s="60">
        <f t="shared" si="1514"/>
        <v>0</v>
      </c>
      <c r="J352" s="60">
        <f t="shared" si="1515"/>
        <v>0</v>
      </c>
      <c r="K352" s="58">
        <f t="shared" ref="K352:W352" si="1635">SUM(K353+K356)</f>
        <v>0</v>
      </c>
      <c r="L352" s="58">
        <f t="shared" si="1635"/>
        <v>0</v>
      </c>
      <c r="M352" s="58">
        <f t="shared" si="1635"/>
        <v>0</v>
      </c>
      <c r="N352" s="58">
        <f t="shared" si="1635"/>
        <v>16662.79</v>
      </c>
      <c r="O352" s="58">
        <f t="shared" si="1635"/>
        <v>0</v>
      </c>
      <c r="P352" s="58">
        <f t="shared" si="1635"/>
        <v>0</v>
      </c>
      <c r="Q352" s="58">
        <f t="shared" si="1635"/>
        <v>0</v>
      </c>
      <c r="R352" s="58">
        <f t="shared" si="1635"/>
        <v>0</v>
      </c>
      <c r="S352" s="58">
        <f t="shared" si="1635"/>
        <v>0</v>
      </c>
      <c r="T352" s="58">
        <f t="shared" si="1635"/>
        <v>0</v>
      </c>
      <c r="U352" s="58">
        <f t="shared" si="1635"/>
        <v>0</v>
      </c>
      <c r="V352" s="58">
        <f t="shared" si="1635"/>
        <v>0</v>
      </c>
      <c r="W352" s="58">
        <f t="shared" si="1635"/>
        <v>16662.79</v>
      </c>
      <c r="X352" s="63">
        <f t="shared" ref="X352:Y352" si="1636">IF(O352&gt;0,O352/K352,0)</f>
        <v>0</v>
      </c>
      <c r="Y352" s="63">
        <f t="shared" si="1636"/>
        <v>0</v>
      </c>
      <c r="Z352" s="63">
        <f t="shared" si="1518"/>
        <v>0</v>
      </c>
      <c r="AA352" s="58">
        <f t="shared" ref="AA352:BW352" si="1637">SUM(AA353+AA356)</f>
        <v>0</v>
      </c>
      <c r="AB352" s="58">
        <f t="shared" si="1637"/>
        <v>0</v>
      </c>
      <c r="AC352" s="58">
        <f t="shared" si="1637"/>
        <v>0</v>
      </c>
      <c r="AD352" s="58">
        <f t="shared" si="1637"/>
        <v>0</v>
      </c>
      <c r="AE352" s="58">
        <f t="shared" si="1637"/>
        <v>0</v>
      </c>
      <c r="AF352" s="58">
        <f t="shared" si="1637"/>
        <v>0</v>
      </c>
      <c r="AG352" s="58">
        <f t="shared" si="1637"/>
        <v>0</v>
      </c>
      <c r="AH352" s="58">
        <f t="shared" si="1637"/>
        <v>0</v>
      </c>
      <c r="AI352" s="58">
        <f t="shared" si="1637"/>
        <v>0</v>
      </c>
      <c r="AJ352" s="58">
        <f t="shared" si="1637"/>
        <v>0</v>
      </c>
      <c r="AK352" s="58">
        <f t="shared" si="1637"/>
        <v>0</v>
      </c>
      <c r="AL352" s="58">
        <f t="shared" si="1637"/>
        <v>0</v>
      </c>
      <c r="AM352" s="58">
        <f t="shared" si="1637"/>
        <v>0</v>
      </c>
      <c r="AN352" s="58">
        <f t="shared" si="1637"/>
        <v>0</v>
      </c>
      <c r="AO352" s="58">
        <f t="shared" si="1637"/>
        <v>0</v>
      </c>
      <c r="AP352" s="58">
        <f t="shared" si="1637"/>
        <v>0</v>
      </c>
      <c r="AQ352" s="58">
        <f t="shared" si="1637"/>
        <v>0</v>
      </c>
      <c r="AR352" s="58">
        <f t="shared" si="1637"/>
        <v>0</v>
      </c>
      <c r="AS352" s="58">
        <f t="shared" si="1637"/>
        <v>0</v>
      </c>
      <c r="AT352" s="58">
        <f t="shared" si="1637"/>
        <v>0</v>
      </c>
      <c r="AU352" s="58">
        <f t="shared" si="1637"/>
        <v>0</v>
      </c>
      <c r="AV352" s="58">
        <f t="shared" si="1637"/>
        <v>0</v>
      </c>
      <c r="AW352" s="58">
        <f t="shared" si="1637"/>
        <v>0</v>
      </c>
      <c r="AX352" s="58">
        <f t="shared" si="1637"/>
        <v>0</v>
      </c>
      <c r="AY352" s="58">
        <f t="shared" si="1637"/>
        <v>0</v>
      </c>
      <c r="AZ352" s="58">
        <f t="shared" si="1637"/>
        <v>0</v>
      </c>
      <c r="BA352" s="58">
        <f t="shared" si="1637"/>
        <v>0</v>
      </c>
      <c r="BB352" s="58">
        <f t="shared" si="1637"/>
        <v>0</v>
      </c>
      <c r="BC352" s="58">
        <f t="shared" si="1637"/>
        <v>0</v>
      </c>
      <c r="BD352" s="58">
        <f t="shared" si="1637"/>
        <v>0</v>
      </c>
      <c r="BE352" s="58">
        <f t="shared" si="1637"/>
        <v>0</v>
      </c>
      <c r="BF352" s="58">
        <f t="shared" si="1637"/>
        <v>0</v>
      </c>
      <c r="BG352" s="58">
        <f t="shared" si="1637"/>
        <v>0</v>
      </c>
      <c r="BH352" s="58">
        <f t="shared" si="1637"/>
        <v>0</v>
      </c>
      <c r="BI352" s="58">
        <f t="shared" si="1637"/>
        <v>0</v>
      </c>
      <c r="BJ352" s="58">
        <f t="shared" si="1637"/>
        <v>0</v>
      </c>
      <c r="BK352" s="58">
        <f t="shared" si="1637"/>
        <v>0</v>
      </c>
      <c r="BL352" s="58">
        <f t="shared" si="1637"/>
        <v>0</v>
      </c>
      <c r="BM352" s="58">
        <f t="shared" si="1637"/>
        <v>0</v>
      </c>
      <c r="BN352" s="58">
        <f t="shared" si="1637"/>
        <v>0</v>
      </c>
      <c r="BO352" s="58">
        <f t="shared" si="1637"/>
        <v>0</v>
      </c>
      <c r="BP352" s="58">
        <f t="shared" si="1637"/>
        <v>0</v>
      </c>
      <c r="BQ352" s="58">
        <f t="shared" si="1637"/>
        <v>0</v>
      </c>
      <c r="BR352" s="58">
        <f t="shared" si="1637"/>
        <v>16662.79</v>
      </c>
      <c r="BS352" s="58">
        <f t="shared" si="1637"/>
        <v>16662.79</v>
      </c>
      <c r="BT352" s="58">
        <f t="shared" si="1637"/>
        <v>0</v>
      </c>
      <c r="BU352" s="58">
        <f t="shared" si="1637"/>
        <v>0</v>
      </c>
      <c r="BV352" s="58">
        <f t="shared" si="1637"/>
        <v>16662.79</v>
      </c>
      <c r="BW352" s="58">
        <f t="shared" si="1637"/>
        <v>16662.79</v>
      </c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</row>
    <row r="353" spans="1:85" ht="15.75">
      <c r="A353" s="206"/>
      <c r="B353" s="207"/>
      <c r="C353" s="208"/>
      <c r="D353" s="209" t="s">
        <v>251</v>
      </c>
      <c r="E353" s="202">
        <f t="shared" ref="E353:H353" si="1638">SUM(E354+E355)</f>
        <v>104443.26</v>
      </c>
      <c r="F353" s="202">
        <f t="shared" si="1638"/>
        <v>25227.3</v>
      </c>
      <c r="G353" s="202">
        <f t="shared" si="1638"/>
        <v>79215.959999999992</v>
      </c>
      <c r="H353" s="202">
        <f t="shared" si="1638"/>
        <v>0</v>
      </c>
      <c r="I353" s="204">
        <f t="shared" si="1514"/>
        <v>0</v>
      </c>
      <c r="J353" s="204">
        <f t="shared" si="1515"/>
        <v>0</v>
      </c>
      <c r="K353" s="202">
        <f t="shared" ref="K353:W353" si="1639">SUM(K354+K355)</f>
        <v>0</v>
      </c>
      <c r="L353" s="202">
        <f t="shared" si="1639"/>
        <v>0</v>
      </c>
      <c r="M353" s="202">
        <f t="shared" si="1639"/>
        <v>0</v>
      </c>
      <c r="N353" s="202">
        <f t="shared" si="1639"/>
        <v>16662.79</v>
      </c>
      <c r="O353" s="202">
        <f t="shared" si="1639"/>
        <v>0</v>
      </c>
      <c r="P353" s="202">
        <f t="shared" si="1639"/>
        <v>0</v>
      </c>
      <c r="Q353" s="202">
        <f t="shared" si="1639"/>
        <v>0</v>
      </c>
      <c r="R353" s="202">
        <f t="shared" si="1639"/>
        <v>0</v>
      </c>
      <c r="S353" s="202">
        <f t="shared" si="1639"/>
        <v>0</v>
      </c>
      <c r="T353" s="202">
        <f t="shared" si="1639"/>
        <v>0</v>
      </c>
      <c r="U353" s="202">
        <f t="shared" si="1639"/>
        <v>0</v>
      </c>
      <c r="V353" s="202">
        <f t="shared" si="1639"/>
        <v>0</v>
      </c>
      <c r="W353" s="202">
        <f t="shared" si="1639"/>
        <v>16662.79</v>
      </c>
      <c r="X353" s="205">
        <f t="shared" ref="X353:Y353" si="1640">IF(O353&gt;0,O353/K353,0)</f>
        <v>0</v>
      </c>
      <c r="Y353" s="205">
        <f t="shared" si="1640"/>
        <v>0</v>
      </c>
      <c r="Z353" s="205">
        <f t="shared" si="1518"/>
        <v>0</v>
      </c>
      <c r="AA353" s="202">
        <f t="shared" ref="AA353:BW353" si="1641">SUM(AA354+AA355)</f>
        <v>0</v>
      </c>
      <c r="AB353" s="202">
        <f t="shared" si="1641"/>
        <v>0</v>
      </c>
      <c r="AC353" s="202">
        <f t="shared" si="1641"/>
        <v>0</v>
      </c>
      <c r="AD353" s="202">
        <f t="shared" si="1641"/>
        <v>0</v>
      </c>
      <c r="AE353" s="202">
        <f t="shared" si="1641"/>
        <v>0</v>
      </c>
      <c r="AF353" s="202">
        <f t="shared" si="1641"/>
        <v>0</v>
      </c>
      <c r="AG353" s="202">
        <f t="shared" si="1641"/>
        <v>0</v>
      </c>
      <c r="AH353" s="202">
        <f t="shared" si="1641"/>
        <v>0</v>
      </c>
      <c r="AI353" s="202">
        <f t="shared" si="1641"/>
        <v>0</v>
      </c>
      <c r="AJ353" s="202">
        <f t="shared" si="1641"/>
        <v>0</v>
      </c>
      <c r="AK353" s="202">
        <f t="shared" si="1641"/>
        <v>0</v>
      </c>
      <c r="AL353" s="202">
        <f t="shared" si="1641"/>
        <v>0</v>
      </c>
      <c r="AM353" s="202">
        <f t="shared" si="1641"/>
        <v>0</v>
      </c>
      <c r="AN353" s="202">
        <f t="shared" si="1641"/>
        <v>0</v>
      </c>
      <c r="AO353" s="202">
        <f t="shared" si="1641"/>
        <v>0</v>
      </c>
      <c r="AP353" s="202">
        <f t="shared" si="1641"/>
        <v>0</v>
      </c>
      <c r="AQ353" s="202">
        <f t="shared" si="1641"/>
        <v>0</v>
      </c>
      <c r="AR353" s="202">
        <f t="shared" si="1641"/>
        <v>0</v>
      </c>
      <c r="AS353" s="202">
        <f t="shared" si="1641"/>
        <v>0</v>
      </c>
      <c r="AT353" s="202">
        <f t="shared" si="1641"/>
        <v>0</v>
      </c>
      <c r="AU353" s="202">
        <f t="shared" si="1641"/>
        <v>0</v>
      </c>
      <c r="AV353" s="202">
        <f t="shared" si="1641"/>
        <v>0</v>
      </c>
      <c r="AW353" s="202">
        <f t="shared" si="1641"/>
        <v>0</v>
      </c>
      <c r="AX353" s="202">
        <f t="shared" si="1641"/>
        <v>0</v>
      </c>
      <c r="AY353" s="202">
        <f t="shared" si="1641"/>
        <v>0</v>
      </c>
      <c r="AZ353" s="202">
        <f t="shared" si="1641"/>
        <v>0</v>
      </c>
      <c r="BA353" s="202">
        <f t="shared" si="1641"/>
        <v>0</v>
      </c>
      <c r="BB353" s="202">
        <f t="shared" si="1641"/>
        <v>0</v>
      </c>
      <c r="BC353" s="202">
        <f t="shared" si="1641"/>
        <v>0</v>
      </c>
      <c r="BD353" s="202">
        <f t="shared" si="1641"/>
        <v>0</v>
      </c>
      <c r="BE353" s="202">
        <f t="shared" si="1641"/>
        <v>0</v>
      </c>
      <c r="BF353" s="202">
        <f t="shared" si="1641"/>
        <v>0</v>
      </c>
      <c r="BG353" s="202">
        <f t="shared" si="1641"/>
        <v>0</v>
      </c>
      <c r="BH353" s="202">
        <f t="shared" si="1641"/>
        <v>0</v>
      </c>
      <c r="BI353" s="202">
        <f t="shared" si="1641"/>
        <v>0</v>
      </c>
      <c r="BJ353" s="202">
        <f t="shared" si="1641"/>
        <v>0</v>
      </c>
      <c r="BK353" s="202">
        <f t="shared" si="1641"/>
        <v>0</v>
      </c>
      <c r="BL353" s="202">
        <f t="shared" si="1641"/>
        <v>0</v>
      </c>
      <c r="BM353" s="202">
        <f t="shared" si="1641"/>
        <v>0</v>
      </c>
      <c r="BN353" s="202">
        <f t="shared" si="1641"/>
        <v>0</v>
      </c>
      <c r="BO353" s="202">
        <f t="shared" si="1641"/>
        <v>0</v>
      </c>
      <c r="BP353" s="202">
        <f t="shared" si="1641"/>
        <v>0</v>
      </c>
      <c r="BQ353" s="202">
        <f t="shared" si="1641"/>
        <v>0</v>
      </c>
      <c r="BR353" s="202">
        <f t="shared" si="1641"/>
        <v>16662.79</v>
      </c>
      <c r="BS353" s="202">
        <f t="shared" si="1641"/>
        <v>16662.79</v>
      </c>
      <c r="BT353" s="202">
        <f t="shared" si="1641"/>
        <v>0</v>
      </c>
      <c r="BU353" s="202">
        <f t="shared" si="1641"/>
        <v>0</v>
      </c>
      <c r="BV353" s="202">
        <f t="shared" si="1641"/>
        <v>16662.79</v>
      </c>
      <c r="BW353" s="202">
        <f t="shared" si="1641"/>
        <v>16662.79</v>
      </c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</row>
    <row r="354" spans="1:85" ht="15.75" customHeight="1">
      <c r="A354" s="134" t="s">
        <v>651</v>
      </c>
      <c r="B354" s="85"/>
      <c r="C354" s="129" t="s">
        <v>270</v>
      </c>
      <c r="D354" s="150" t="s">
        <v>652</v>
      </c>
      <c r="E354" s="70">
        <v>101443.26</v>
      </c>
      <c r="F354" s="127">
        <v>25227.3</v>
      </c>
      <c r="G354" s="334">
        <f t="shared" ref="G354:G355" si="1642">E354-F354</f>
        <v>76215.959999999992</v>
      </c>
      <c r="H354" s="335"/>
      <c r="I354" s="336">
        <f t="shared" si="1514"/>
        <v>0</v>
      </c>
      <c r="J354" s="72">
        <f t="shared" si="1515"/>
        <v>0</v>
      </c>
      <c r="K354" s="73"/>
      <c r="L354" s="74"/>
      <c r="M354" s="81"/>
      <c r="N354" s="73">
        <v>8234.1299999999992</v>
      </c>
      <c r="O354" s="77">
        <f t="shared" ref="O354:Q354" si="1643">AA354+AD354+AG354+AJ354+AM354+AP354+AS354+AV354+AY354+BB354+BE354+BH354</f>
        <v>0</v>
      </c>
      <c r="P354" s="77">
        <f t="shared" si="1643"/>
        <v>0</v>
      </c>
      <c r="Q354" s="77">
        <f t="shared" si="1643"/>
        <v>0</v>
      </c>
      <c r="R354" s="77">
        <f t="shared" ref="R354:T354" si="1644">IF(BK354=0,SUM(AA354+AD354+AG354+AJ354+AM354+AP354+AS354+AV354+AY354+BB354+BE354+BH354),BK354)</f>
        <v>0</v>
      </c>
      <c r="S354" s="77">
        <f t="shared" si="1644"/>
        <v>0</v>
      </c>
      <c r="T354" s="77">
        <f t="shared" si="1644"/>
        <v>0</v>
      </c>
      <c r="U354" s="78">
        <f t="shared" ref="U354:U355" si="1645">K354-O354</f>
        <v>0</v>
      </c>
      <c r="V354" s="79">
        <f t="shared" ref="V354:V355" si="1646">L354-M354-S354</f>
        <v>0</v>
      </c>
      <c r="W354" s="79">
        <f t="shared" ref="W354:W355" si="1647">N354-Q354</f>
        <v>8234.1299999999992</v>
      </c>
      <c r="X354" s="80">
        <f t="shared" ref="X354:Y354" si="1648">IF(O354&gt;0,O354/K354,0)</f>
        <v>0</v>
      </c>
      <c r="Y354" s="80">
        <f t="shared" si="1648"/>
        <v>0</v>
      </c>
      <c r="Z354" s="80">
        <f t="shared" si="1518"/>
        <v>0</v>
      </c>
      <c r="AA354" s="81"/>
      <c r="AB354" s="81"/>
      <c r="AC354" s="81"/>
      <c r="AD354" s="81"/>
      <c r="AE354" s="83"/>
      <c r="AF354" s="83"/>
      <c r="AG354" s="83"/>
      <c r="AH354" s="83"/>
      <c r="AI354" s="81"/>
      <c r="AJ354" s="81"/>
      <c r="AK354" s="81"/>
      <c r="AL354" s="81"/>
      <c r="AM354" s="81"/>
      <c r="AN354" s="81"/>
      <c r="AO354" s="81"/>
      <c r="AP354" s="81"/>
      <c r="AQ354" s="81"/>
      <c r="AR354" s="81"/>
      <c r="AS354" s="81"/>
      <c r="AT354" s="81"/>
      <c r="AU354" s="81"/>
      <c r="AV354" s="81"/>
      <c r="AW354" s="81"/>
      <c r="AX354" s="81"/>
      <c r="AY354" s="81"/>
      <c r="AZ354" s="81"/>
      <c r="BA354" s="81"/>
      <c r="BB354" s="81"/>
      <c r="BC354" s="81"/>
      <c r="BD354" s="81"/>
      <c r="BE354" s="81"/>
      <c r="BF354" s="81"/>
      <c r="BG354" s="81"/>
      <c r="BH354" s="81"/>
      <c r="BI354" s="81"/>
      <c r="BJ354" s="81"/>
      <c r="BK354" s="82">
        <v>0</v>
      </c>
      <c r="BL354" s="82">
        <v>0</v>
      </c>
      <c r="BM354" s="82">
        <v>0</v>
      </c>
      <c r="BN354" s="81">
        <f t="shared" ref="BN354:BN355" si="1649">IF(O354-BK354&gt;0,O354-BK354,0)</f>
        <v>0</v>
      </c>
      <c r="BO354" s="75">
        <f t="shared" ref="BO354:BO355" si="1650">IF(Q354-BM354&gt;0,Q354-BM354,0)</f>
        <v>0</v>
      </c>
      <c r="BP354" s="81">
        <f t="shared" ref="BP354:BP355" si="1651">IF(BN354+BO354&gt;0,BN354+BO354,0)</f>
        <v>0</v>
      </c>
      <c r="BQ354" s="81">
        <f t="shared" ref="BQ354:BQ355" si="1652">IF(U354=0,0,U354)</f>
        <v>0</v>
      </c>
      <c r="BR354" s="81">
        <f t="shared" ref="BR354:BR355" si="1653">IF(W354=0,0,W354)</f>
        <v>8234.1299999999992</v>
      </c>
      <c r="BS354" s="81">
        <f t="shared" ref="BS354:BS355" si="1654">IF(BQ354+BR354&gt;0,BQ354+BR354,0)</f>
        <v>8234.1299999999992</v>
      </c>
      <c r="BT354" s="81">
        <f t="shared" ref="BT354:BT355" si="1655">IF(V354&gt;0,V354,0)</f>
        <v>0</v>
      </c>
      <c r="BU354" s="81">
        <f t="shared" ref="BU354:BU355" si="1656">IF(BP354=0,0,BP354)</f>
        <v>0</v>
      </c>
      <c r="BV354" s="81">
        <f t="shared" ref="BV354:BV355" si="1657">IF(BS354=0,0,BS354)</f>
        <v>8234.1299999999992</v>
      </c>
      <c r="BW354" s="81">
        <f t="shared" ref="BW354:BW355" si="1658">IF(BP354+BT354+BV354&gt;0,BP354+BT354+BV354,0)</f>
        <v>8234.1299999999992</v>
      </c>
      <c r="BX354" s="1"/>
      <c r="BY354" s="1"/>
      <c r="BZ354" s="1"/>
      <c r="CA354" s="1"/>
      <c r="CB354" s="1"/>
      <c r="CC354" s="1"/>
      <c r="CD354" s="1"/>
      <c r="CE354" s="1"/>
      <c r="CF354" s="1"/>
      <c r="CG354" s="1"/>
    </row>
    <row r="355" spans="1:85" ht="15.75" customHeight="1">
      <c r="A355" s="134" t="s">
        <v>653</v>
      </c>
      <c r="B355" s="85"/>
      <c r="C355" s="340" t="s">
        <v>270</v>
      </c>
      <c r="D355" s="150" t="s">
        <v>654</v>
      </c>
      <c r="E355" s="70">
        <v>3000</v>
      </c>
      <c r="F355" s="71"/>
      <c r="G355" s="70">
        <f t="shared" si="1642"/>
        <v>3000</v>
      </c>
      <c r="H355" s="117"/>
      <c r="I355" s="72">
        <f t="shared" si="1514"/>
        <v>0</v>
      </c>
      <c r="J355" s="72">
        <f t="shared" si="1515"/>
        <v>0</v>
      </c>
      <c r="K355" s="73"/>
      <c r="L355" s="74"/>
      <c r="M355" s="81"/>
      <c r="N355" s="73">
        <v>8428.66</v>
      </c>
      <c r="O355" s="77">
        <f t="shared" ref="O355:Q355" si="1659">AA355+AD355+AG355+AJ355+AM355+AP355+AS355+AV355+AY355+BB355+BE355+BH355</f>
        <v>0</v>
      </c>
      <c r="P355" s="77">
        <f t="shared" si="1659"/>
        <v>0</v>
      </c>
      <c r="Q355" s="77">
        <f t="shared" si="1659"/>
        <v>0</v>
      </c>
      <c r="R355" s="77">
        <f t="shared" ref="R355:T355" si="1660">IF(BK355=0,SUM(AA355+AD355+AG355+AJ355+AM355+AP355+AS355+AV355+AY355+BB355+BE355+BH355),BK355)</f>
        <v>0</v>
      </c>
      <c r="S355" s="77">
        <f t="shared" si="1660"/>
        <v>0</v>
      </c>
      <c r="T355" s="77">
        <f t="shared" si="1660"/>
        <v>0</v>
      </c>
      <c r="U355" s="78">
        <f t="shared" si="1645"/>
        <v>0</v>
      </c>
      <c r="V355" s="79">
        <f t="shared" si="1646"/>
        <v>0</v>
      </c>
      <c r="W355" s="79">
        <f t="shared" si="1647"/>
        <v>8428.66</v>
      </c>
      <c r="X355" s="80">
        <f t="shared" ref="X355:Y355" si="1661">IF(O355&gt;0,O355/K355,0)</f>
        <v>0</v>
      </c>
      <c r="Y355" s="80">
        <f t="shared" si="1661"/>
        <v>0</v>
      </c>
      <c r="Z355" s="80">
        <f t="shared" si="1518"/>
        <v>0</v>
      </c>
      <c r="AA355" s="81"/>
      <c r="AB355" s="81"/>
      <c r="AC355" s="81"/>
      <c r="AD355" s="81"/>
      <c r="AE355" s="83"/>
      <c r="AF355" s="83"/>
      <c r="AG355" s="83"/>
      <c r="AH355" s="83"/>
      <c r="AI355" s="81"/>
      <c r="AJ355" s="81"/>
      <c r="AK355" s="81"/>
      <c r="AL355" s="81"/>
      <c r="AM355" s="81"/>
      <c r="AN355" s="81"/>
      <c r="AO355" s="81"/>
      <c r="AP355" s="81"/>
      <c r="AQ355" s="81"/>
      <c r="AR355" s="81"/>
      <c r="AS355" s="81"/>
      <c r="AT355" s="81"/>
      <c r="AU355" s="81"/>
      <c r="AV355" s="81"/>
      <c r="AW355" s="81"/>
      <c r="AX355" s="81"/>
      <c r="AY355" s="81"/>
      <c r="AZ355" s="81"/>
      <c r="BA355" s="81"/>
      <c r="BB355" s="81"/>
      <c r="BC355" s="81"/>
      <c r="BD355" s="81"/>
      <c r="BE355" s="81"/>
      <c r="BF355" s="81"/>
      <c r="BG355" s="81"/>
      <c r="BH355" s="81"/>
      <c r="BI355" s="81"/>
      <c r="BJ355" s="81"/>
      <c r="BK355" s="82">
        <v>0</v>
      </c>
      <c r="BL355" s="82">
        <v>0</v>
      </c>
      <c r="BM355" s="82">
        <v>0</v>
      </c>
      <c r="BN355" s="81">
        <f t="shared" si="1649"/>
        <v>0</v>
      </c>
      <c r="BO355" s="75">
        <f t="shared" si="1650"/>
        <v>0</v>
      </c>
      <c r="BP355" s="81">
        <f t="shared" si="1651"/>
        <v>0</v>
      </c>
      <c r="BQ355" s="81">
        <f t="shared" si="1652"/>
        <v>0</v>
      </c>
      <c r="BR355" s="81">
        <f t="shared" si="1653"/>
        <v>8428.66</v>
      </c>
      <c r="BS355" s="81">
        <f t="shared" si="1654"/>
        <v>8428.66</v>
      </c>
      <c r="BT355" s="81">
        <f t="shared" si="1655"/>
        <v>0</v>
      </c>
      <c r="BU355" s="81">
        <f t="shared" si="1656"/>
        <v>0</v>
      </c>
      <c r="BV355" s="81">
        <f t="shared" si="1657"/>
        <v>8428.66</v>
      </c>
      <c r="BW355" s="81">
        <f t="shared" si="1658"/>
        <v>8428.66</v>
      </c>
      <c r="BX355" s="1"/>
      <c r="BY355" s="1"/>
      <c r="BZ355" s="1"/>
      <c r="CA355" s="1"/>
      <c r="CB355" s="1"/>
      <c r="CC355" s="1"/>
      <c r="CD355" s="1"/>
      <c r="CE355" s="1"/>
      <c r="CF355" s="1"/>
      <c r="CG355" s="1"/>
    </row>
    <row r="356" spans="1:85" ht="15.75" customHeight="1">
      <c r="A356" s="341"/>
      <c r="B356" s="342"/>
      <c r="C356" s="343"/>
      <c r="D356" s="209" t="s">
        <v>320</v>
      </c>
      <c r="E356" s="202">
        <f t="shared" ref="E356:H356" si="1662">E357</f>
        <v>0</v>
      </c>
      <c r="F356" s="203">
        <f t="shared" si="1662"/>
        <v>0</v>
      </c>
      <c r="G356" s="203">
        <f t="shared" si="1662"/>
        <v>0</v>
      </c>
      <c r="H356" s="203">
        <f t="shared" si="1662"/>
        <v>0</v>
      </c>
      <c r="I356" s="204">
        <f t="shared" si="1514"/>
        <v>0</v>
      </c>
      <c r="J356" s="204">
        <f t="shared" si="1515"/>
        <v>0</v>
      </c>
      <c r="K356" s="203">
        <f t="shared" ref="K356:W356" si="1663">K357</f>
        <v>0</v>
      </c>
      <c r="L356" s="203">
        <f t="shared" si="1663"/>
        <v>0</v>
      </c>
      <c r="M356" s="203">
        <f t="shared" si="1663"/>
        <v>0</v>
      </c>
      <c r="N356" s="203">
        <f t="shared" si="1663"/>
        <v>0</v>
      </c>
      <c r="O356" s="203">
        <f t="shared" si="1663"/>
        <v>0</v>
      </c>
      <c r="P356" s="203">
        <f t="shared" si="1663"/>
        <v>0</v>
      </c>
      <c r="Q356" s="203">
        <f t="shared" si="1663"/>
        <v>0</v>
      </c>
      <c r="R356" s="203">
        <f t="shared" si="1663"/>
        <v>0</v>
      </c>
      <c r="S356" s="203">
        <f t="shared" si="1663"/>
        <v>0</v>
      </c>
      <c r="T356" s="203">
        <f t="shared" si="1663"/>
        <v>0</v>
      </c>
      <c r="U356" s="203">
        <f t="shared" si="1663"/>
        <v>0</v>
      </c>
      <c r="V356" s="203">
        <f t="shared" si="1663"/>
        <v>0</v>
      </c>
      <c r="W356" s="203">
        <f t="shared" si="1663"/>
        <v>0</v>
      </c>
      <c r="X356" s="205">
        <f t="shared" ref="X356:Y356" si="1664">IF(O356&gt;0,O356/K356,0)</f>
        <v>0</v>
      </c>
      <c r="Y356" s="205">
        <f t="shared" si="1664"/>
        <v>0</v>
      </c>
      <c r="Z356" s="205">
        <f t="shared" si="1518"/>
        <v>0</v>
      </c>
      <c r="AA356" s="203">
        <f t="shared" ref="AA356:BW356" si="1665">AA357</f>
        <v>0</v>
      </c>
      <c r="AB356" s="203">
        <f t="shared" si="1665"/>
        <v>0</v>
      </c>
      <c r="AC356" s="203">
        <f t="shared" si="1665"/>
        <v>0</v>
      </c>
      <c r="AD356" s="203">
        <f t="shared" si="1665"/>
        <v>0</v>
      </c>
      <c r="AE356" s="203">
        <f t="shared" si="1665"/>
        <v>0</v>
      </c>
      <c r="AF356" s="203">
        <f t="shared" si="1665"/>
        <v>0</v>
      </c>
      <c r="AG356" s="203">
        <f t="shared" si="1665"/>
        <v>0</v>
      </c>
      <c r="AH356" s="203">
        <f t="shared" si="1665"/>
        <v>0</v>
      </c>
      <c r="AI356" s="203">
        <f t="shared" si="1665"/>
        <v>0</v>
      </c>
      <c r="AJ356" s="203">
        <f t="shared" si="1665"/>
        <v>0</v>
      </c>
      <c r="AK356" s="203">
        <f t="shared" si="1665"/>
        <v>0</v>
      </c>
      <c r="AL356" s="203">
        <f t="shared" si="1665"/>
        <v>0</v>
      </c>
      <c r="AM356" s="203">
        <f t="shared" si="1665"/>
        <v>0</v>
      </c>
      <c r="AN356" s="203">
        <f t="shared" si="1665"/>
        <v>0</v>
      </c>
      <c r="AO356" s="203">
        <f t="shared" si="1665"/>
        <v>0</v>
      </c>
      <c r="AP356" s="203">
        <f t="shared" si="1665"/>
        <v>0</v>
      </c>
      <c r="AQ356" s="203">
        <f t="shared" si="1665"/>
        <v>0</v>
      </c>
      <c r="AR356" s="203">
        <f t="shared" si="1665"/>
        <v>0</v>
      </c>
      <c r="AS356" s="203">
        <f t="shared" si="1665"/>
        <v>0</v>
      </c>
      <c r="AT356" s="203">
        <f t="shared" si="1665"/>
        <v>0</v>
      </c>
      <c r="AU356" s="203">
        <f t="shared" si="1665"/>
        <v>0</v>
      </c>
      <c r="AV356" s="203">
        <f t="shared" si="1665"/>
        <v>0</v>
      </c>
      <c r="AW356" s="203">
        <f t="shared" si="1665"/>
        <v>0</v>
      </c>
      <c r="AX356" s="203">
        <f t="shared" si="1665"/>
        <v>0</v>
      </c>
      <c r="AY356" s="203">
        <f t="shared" si="1665"/>
        <v>0</v>
      </c>
      <c r="AZ356" s="203">
        <f t="shared" si="1665"/>
        <v>0</v>
      </c>
      <c r="BA356" s="203">
        <f t="shared" si="1665"/>
        <v>0</v>
      </c>
      <c r="BB356" s="203">
        <f t="shared" si="1665"/>
        <v>0</v>
      </c>
      <c r="BC356" s="203">
        <f t="shared" si="1665"/>
        <v>0</v>
      </c>
      <c r="BD356" s="203">
        <f t="shared" si="1665"/>
        <v>0</v>
      </c>
      <c r="BE356" s="203">
        <f t="shared" si="1665"/>
        <v>0</v>
      </c>
      <c r="BF356" s="203">
        <f t="shared" si="1665"/>
        <v>0</v>
      </c>
      <c r="BG356" s="203">
        <f t="shared" si="1665"/>
        <v>0</v>
      </c>
      <c r="BH356" s="203">
        <f t="shared" si="1665"/>
        <v>0</v>
      </c>
      <c r="BI356" s="203">
        <f t="shared" si="1665"/>
        <v>0</v>
      </c>
      <c r="BJ356" s="203">
        <f t="shared" si="1665"/>
        <v>0</v>
      </c>
      <c r="BK356" s="203">
        <f t="shared" si="1665"/>
        <v>0</v>
      </c>
      <c r="BL356" s="203">
        <f t="shared" si="1665"/>
        <v>0</v>
      </c>
      <c r="BM356" s="203">
        <f t="shared" si="1665"/>
        <v>0</v>
      </c>
      <c r="BN356" s="203">
        <f t="shared" si="1665"/>
        <v>0</v>
      </c>
      <c r="BO356" s="203">
        <f t="shared" si="1665"/>
        <v>0</v>
      </c>
      <c r="BP356" s="203">
        <f t="shared" si="1665"/>
        <v>0</v>
      </c>
      <c r="BQ356" s="203">
        <f t="shared" si="1665"/>
        <v>0</v>
      </c>
      <c r="BR356" s="203">
        <f t="shared" si="1665"/>
        <v>0</v>
      </c>
      <c r="BS356" s="203">
        <f t="shared" si="1665"/>
        <v>0</v>
      </c>
      <c r="BT356" s="203">
        <f t="shared" si="1665"/>
        <v>0</v>
      </c>
      <c r="BU356" s="203">
        <f t="shared" si="1665"/>
        <v>0</v>
      </c>
      <c r="BV356" s="203">
        <f t="shared" si="1665"/>
        <v>0</v>
      </c>
      <c r="BW356" s="203">
        <f t="shared" si="1665"/>
        <v>0</v>
      </c>
      <c r="BX356" s="1"/>
      <c r="BY356" s="1"/>
      <c r="BZ356" s="1"/>
      <c r="CA356" s="1"/>
      <c r="CB356" s="1"/>
      <c r="CC356" s="1"/>
      <c r="CD356" s="1"/>
      <c r="CE356" s="1"/>
      <c r="CF356" s="1"/>
      <c r="CG356" s="1"/>
    </row>
    <row r="357" spans="1:85" ht="15.75" customHeight="1">
      <c r="A357" s="176" t="s">
        <v>655</v>
      </c>
      <c r="B357" s="132"/>
      <c r="C357" s="86" t="s">
        <v>323</v>
      </c>
      <c r="D357" s="87" t="s">
        <v>656</v>
      </c>
      <c r="E357" s="70"/>
      <c r="F357" s="71"/>
      <c r="G357" s="71">
        <f>E357-F357</f>
        <v>0</v>
      </c>
      <c r="H357" s="70"/>
      <c r="I357" s="72">
        <f t="shared" si="1514"/>
        <v>0</v>
      </c>
      <c r="J357" s="72">
        <f t="shared" si="1515"/>
        <v>0</v>
      </c>
      <c r="K357" s="73"/>
      <c r="L357" s="81"/>
      <c r="M357" s="81"/>
      <c r="N357" s="73"/>
      <c r="O357" s="77">
        <f t="shared" ref="O357:Q357" si="1666">AA357+AD357+AG357+AJ357+AM357+AP357+AS357+AV357+AY357+BB357+BE357+BH357</f>
        <v>0</v>
      </c>
      <c r="P357" s="77">
        <f t="shared" si="1666"/>
        <v>0</v>
      </c>
      <c r="Q357" s="77">
        <f t="shared" si="1666"/>
        <v>0</v>
      </c>
      <c r="R357" s="77">
        <f t="shared" ref="R357:T357" si="1667">IF(BK357=0,SUM(AA357+AD357+AG357+AJ357+AM357+AP357+AS357+AV357+AY357+BB357+BE357+BH357),BK357)</f>
        <v>0</v>
      </c>
      <c r="S357" s="77">
        <f t="shared" si="1667"/>
        <v>0</v>
      </c>
      <c r="T357" s="77">
        <f t="shared" si="1667"/>
        <v>0</v>
      </c>
      <c r="U357" s="79">
        <f>K357-O357</f>
        <v>0</v>
      </c>
      <c r="V357" s="79">
        <f>L357-M357-S357</f>
        <v>0</v>
      </c>
      <c r="W357" s="78">
        <f>N357-Q357</f>
        <v>0</v>
      </c>
      <c r="X357" s="80">
        <f t="shared" ref="X357:Y357" si="1668">IF(O357&gt;0,O357/K357,0)</f>
        <v>0</v>
      </c>
      <c r="Y357" s="80">
        <f t="shared" si="1668"/>
        <v>0</v>
      </c>
      <c r="Z357" s="80">
        <f t="shared" si="1518"/>
        <v>0</v>
      </c>
      <c r="AA357" s="81"/>
      <c r="AB357" s="82"/>
      <c r="AC357" s="81"/>
      <c r="AD357" s="81"/>
      <c r="AE357" s="83"/>
      <c r="AF357" s="83"/>
      <c r="AG357" s="83"/>
      <c r="AH357" s="128"/>
      <c r="AI357" s="81"/>
      <c r="AJ357" s="81"/>
      <c r="AK357" s="81"/>
      <c r="AL357" s="81"/>
      <c r="AM357" s="81"/>
      <c r="AN357" s="81"/>
      <c r="AO357" s="81"/>
      <c r="AP357" s="81"/>
      <c r="AQ357" s="81"/>
      <c r="AR357" s="81"/>
      <c r="AS357" s="81"/>
      <c r="AT357" s="81"/>
      <c r="AU357" s="81"/>
      <c r="AV357" s="81"/>
      <c r="AW357" s="81"/>
      <c r="AX357" s="81"/>
      <c r="AY357" s="81"/>
      <c r="AZ357" s="81"/>
      <c r="BA357" s="81"/>
      <c r="BB357" s="81"/>
      <c r="BC357" s="81"/>
      <c r="BD357" s="81"/>
      <c r="BE357" s="81"/>
      <c r="BF357" s="81"/>
      <c r="BG357" s="81"/>
      <c r="BH357" s="81"/>
      <c r="BI357" s="81"/>
      <c r="BJ357" s="81"/>
      <c r="BK357" s="82">
        <v>0</v>
      </c>
      <c r="BL357" s="82">
        <v>0</v>
      </c>
      <c r="BM357" s="82">
        <v>0</v>
      </c>
      <c r="BN357" s="81">
        <f>IF(O357-BK357&gt;0,O357-BK357,0)</f>
        <v>0</v>
      </c>
      <c r="BO357" s="75">
        <f>IF(Q357-BM357&gt;0,Q357-BM357,0)</f>
        <v>0</v>
      </c>
      <c r="BP357" s="81">
        <f>IF(BN357+BO357&gt;0,BN357+BO357,0)</f>
        <v>0</v>
      </c>
      <c r="BQ357" s="81">
        <f>IF(U357=0,0,U357)</f>
        <v>0</v>
      </c>
      <c r="BR357" s="81">
        <f>IF(W357=0,0,W357)</f>
        <v>0</v>
      </c>
      <c r="BS357" s="81">
        <f>IF(BQ357+BR357&gt;0,BQ357+BR357,0)</f>
        <v>0</v>
      </c>
      <c r="BT357" s="81">
        <f>IF(V357&gt;0,V357,0)</f>
        <v>0</v>
      </c>
      <c r="BU357" s="81">
        <f>IF(BP357=0,0,BP357)</f>
        <v>0</v>
      </c>
      <c r="BV357" s="81">
        <f>IF(BS357=0,0,BS357)</f>
        <v>0</v>
      </c>
      <c r="BW357" s="81">
        <f>IF(BP357+BT357+BV357&gt;0,BP357+BT357+BV357,0)</f>
        <v>0</v>
      </c>
      <c r="BX357" s="1"/>
      <c r="BY357" s="1"/>
      <c r="BZ357" s="1"/>
      <c r="CA357" s="1"/>
      <c r="CB357" s="1"/>
      <c r="CC357" s="1"/>
      <c r="CD357" s="1"/>
      <c r="CE357" s="1"/>
      <c r="CF357" s="1"/>
      <c r="CG357" s="1"/>
    </row>
    <row r="358" spans="1:85" ht="15.75" customHeight="1">
      <c r="A358" s="326"/>
      <c r="B358" s="327"/>
      <c r="C358" s="328"/>
      <c r="D358" s="329" t="s">
        <v>657</v>
      </c>
      <c r="E358" s="330">
        <f t="shared" ref="E358:H358" si="1669">E359+E369</f>
        <v>0</v>
      </c>
      <c r="F358" s="344">
        <f t="shared" si="1669"/>
        <v>0</v>
      </c>
      <c r="G358" s="344">
        <f t="shared" si="1669"/>
        <v>0</v>
      </c>
      <c r="H358" s="344">
        <f t="shared" si="1669"/>
        <v>10000</v>
      </c>
      <c r="I358" s="331">
        <f t="shared" si="1514"/>
        <v>0</v>
      </c>
      <c r="J358" s="331">
        <f t="shared" si="1515"/>
        <v>0</v>
      </c>
      <c r="K358" s="344">
        <f t="shared" ref="K358:W358" si="1670">K359+K369</f>
        <v>1000</v>
      </c>
      <c r="L358" s="344">
        <f t="shared" si="1670"/>
        <v>0</v>
      </c>
      <c r="M358" s="344">
        <f t="shared" si="1670"/>
        <v>0</v>
      </c>
      <c r="N358" s="344">
        <f t="shared" si="1670"/>
        <v>773795</v>
      </c>
      <c r="O358" s="344">
        <f t="shared" si="1670"/>
        <v>1000</v>
      </c>
      <c r="P358" s="344">
        <f t="shared" si="1670"/>
        <v>0</v>
      </c>
      <c r="Q358" s="344">
        <f t="shared" si="1670"/>
        <v>773795</v>
      </c>
      <c r="R358" s="344">
        <f t="shared" si="1670"/>
        <v>1000</v>
      </c>
      <c r="S358" s="344">
        <f t="shared" si="1670"/>
        <v>0</v>
      </c>
      <c r="T358" s="344">
        <f t="shared" si="1670"/>
        <v>773795</v>
      </c>
      <c r="U358" s="344">
        <f t="shared" si="1670"/>
        <v>0</v>
      </c>
      <c r="V358" s="344">
        <f t="shared" si="1670"/>
        <v>0</v>
      </c>
      <c r="W358" s="344">
        <f t="shared" si="1670"/>
        <v>0</v>
      </c>
      <c r="X358" s="332">
        <f t="shared" ref="X358:Y358" si="1671">IF(O358&gt;0,O358/K358,0)</f>
        <v>1</v>
      </c>
      <c r="Y358" s="332">
        <f t="shared" si="1671"/>
        <v>0</v>
      </c>
      <c r="Z358" s="332">
        <f t="shared" si="1518"/>
        <v>1</v>
      </c>
      <c r="AA358" s="344">
        <f t="shared" ref="AA358:BW358" si="1672">AA359+AA369</f>
        <v>0</v>
      </c>
      <c r="AB358" s="344">
        <f t="shared" si="1672"/>
        <v>0</v>
      </c>
      <c r="AC358" s="344">
        <f t="shared" si="1672"/>
        <v>0</v>
      </c>
      <c r="AD358" s="344">
        <f t="shared" si="1672"/>
        <v>0</v>
      </c>
      <c r="AE358" s="344">
        <f t="shared" si="1672"/>
        <v>0</v>
      </c>
      <c r="AF358" s="344">
        <f t="shared" si="1672"/>
        <v>0</v>
      </c>
      <c r="AG358" s="344">
        <f t="shared" si="1672"/>
        <v>0</v>
      </c>
      <c r="AH358" s="344">
        <f t="shared" si="1672"/>
        <v>0</v>
      </c>
      <c r="AI358" s="344">
        <f t="shared" si="1672"/>
        <v>6360</v>
      </c>
      <c r="AJ358" s="344">
        <f t="shared" si="1672"/>
        <v>0</v>
      </c>
      <c r="AK358" s="344">
        <f t="shared" si="1672"/>
        <v>0</v>
      </c>
      <c r="AL358" s="344">
        <f t="shared" si="1672"/>
        <v>16040</v>
      </c>
      <c r="AM358" s="344">
        <f t="shared" si="1672"/>
        <v>0</v>
      </c>
      <c r="AN358" s="344">
        <f t="shared" si="1672"/>
        <v>0</v>
      </c>
      <c r="AO358" s="344">
        <f t="shared" si="1672"/>
        <v>104289</v>
      </c>
      <c r="AP358" s="344">
        <f t="shared" si="1672"/>
        <v>1000</v>
      </c>
      <c r="AQ358" s="344">
        <f t="shared" si="1672"/>
        <v>0</v>
      </c>
      <c r="AR358" s="344">
        <f t="shared" si="1672"/>
        <v>47070</v>
      </c>
      <c r="AS358" s="344">
        <f t="shared" si="1672"/>
        <v>0</v>
      </c>
      <c r="AT358" s="344">
        <f t="shared" si="1672"/>
        <v>0</v>
      </c>
      <c r="AU358" s="344">
        <f t="shared" si="1672"/>
        <v>49080</v>
      </c>
      <c r="AV358" s="344">
        <f t="shared" si="1672"/>
        <v>0</v>
      </c>
      <c r="AW358" s="344">
        <f t="shared" si="1672"/>
        <v>0</v>
      </c>
      <c r="AX358" s="344">
        <f t="shared" si="1672"/>
        <v>127400</v>
      </c>
      <c r="AY358" s="344">
        <f t="shared" si="1672"/>
        <v>0</v>
      </c>
      <c r="AZ358" s="344">
        <f t="shared" si="1672"/>
        <v>0</v>
      </c>
      <c r="BA358" s="344">
        <f t="shared" si="1672"/>
        <v>103232</v>
      </c>
      <c r="BB358" s="344">
        <f t="shared" si="1672"/>
        <v>0</v>
      </c>
      <c r="BC358" s="344">
        <f t="shared" si="1672"/>
        <v>0</v>
      </c>
      <c r="BD358" s="344">
        <f t="shared" si="1672"/>
        <v>104284</v>
      </c>
      <c r="BE358" s="344">
        <f t="shared" si="1672"/>
        <v>0</v>
      </c>
      <c r="BF358" s="344">
        <f t="shared" si="1672"/>
        <v>0</v>
      </c>
      <c r="BG358" s="344">
        <f t="shared" si="1672"/>
        <v>99670</v>
      </c>
      <c r="BH358" s="344">
        <f t="shared" si="1672"/>
        <v>0</v>
      </c>
      <c r="BI358" s="344">
        <f t="shared" si="1672"/>
        <v>0</v>
      </c>
      <c r="BJ358" s="344">
        <f t="shared" si="1672"/>
        <v>116370</v>
      </c>
      <c r="BK358" s="344">
        <f t="shared" si="1672"/>
        <v>1000</v>
      </c>
      <c r="BL358" s="344">
        <f t="shared" si="1672"/>
        <v>0</v>
      </c>
      <c r="BM358" s="344">
        <f t="shared" si="1672"/>
        <v>773795</v>
      </c>
      <c r="BN358" s="344">
        <f t="shared" si="1672"/>
        <v>0</v>
      </c>
      <c r="BO358" s="344">
        <f t="shared" si="1672"/>
        <v>0</v>
      </c>
      <c r="BP358" s="344">
        <f t="shared" si="1672"/>
        <v>0</v>
      </c>
      <c r="BQ358" s="344">
        <f t="shared" si="1672"/>
        <v>0</v>
      </c>
      <c r="BR358" s="344">
        <f t="shared" si="1672"/>
        <v>0</v>
      </c>
      <c r="BS358" s="344">
        <f t="shared" si="1672"/>
        <v>0</v>
      </c>
      <c r="BT358" s="344">
        <f t="shared" si="1672"/>
        <v>0</v>
      </c>
      <c r="BU358" s="344">
        <f t="shared" si="1672"/>
        <v>0</v>
      </c>
      <c r="BV358" s="344">
        <f t="shared" si="1672"/>
        <v>0</v>
      </c>
      <c r="BW358" s="344">
        <f t="shared" si="1672"/>
        <v>0</v>
      </c>
      <c r="BX358" s="1"/>
      <c r="BY358" s="1"/>
      <c r="BZ358" s="1"/>
      <c r="CA358" s="1"/>
      <c r="CB358" s="1"/>
      <c r="CC358" s="1"/>
      <c r="CD358" s="1"/>
      <c r="CE358" s="1"/>
      <c r="CF358" s="1"/>
      <c r="CG358" s="1"/>
    </row>
    <row r="359" spans="1:85" ht="15.75">
      <c r="A359" s="54"/>
      <c r="B359" s="55"/>
      <c r="C359" s="56"/>
      <c r="D359" s="57" t="s">
        <v>632</v>
      </c>
      <c r="E359" s="58">
        <f t="shared" ref="E359:H359" si="1673">SUM(E360:E368)</f>
        <v>0</v>
      </c>
      <c r="F359" s="58">
        <f t="shared" si="1673"/>
        <v>0</v>
      </c>
      <c r="G359" s="58">
        <f t="shared" si="1673"/>
        <v>0</v>
      </c>
      <c r="H359" s="58">
        <f t="shared" si="1673"/>
        <v>0</v>
      </c>
      <c r="I359" s="60">
        <f t="shared" si="1514"/>
        <v>0</v>
      </c>
      <c r="J359" s="60">
        <f t="shared" si="1515"/>
        <v>0</v>
      </c>
      <c r="K359" s="58">
        <f t="shared" ref="K359:W359" si="1674">SUM(K360:K368)</f>
        <v>1000</v>
      </c>
      <c r="L359" s="58">
        <f t="shared" si="1674"/>
        <v>0</v>
      </c>
      <c r="M359" s="58">
        <f t="shared" si="1674"/>
        <v>0</v>
      </c>
      <c r="N359" s="58">
        <f t="shared" si="1674"/>
        <v>749595</v>
      </c>
      <c r="O359" s="58">
        <f t="shared" si="1674"/>
        <v>1000</v>
      </c>
      <c r="P359" s="58">
        <f t="shared" si="1674"/>
        <v>0</v>
      </c>
      <c r="Q359" s="58">
        <f t="shared" si="1674"/>
        <v>749595</v>
      </c>
      <c r="R359" s="58">
        <f t="shared" si="1674"/>
        <v>1000</v>
      </c>
      <c r="S359" s="58">
        <f t="shared" si="1674"/>
        <v>0</v>
      </c>
      <c r="T359" s="58">
        <f t="shared" si="1674"/>
        <v>749595</v>
      </c>
      <c r="U359" s="58">
        <f t="shared" si="1674"/>
        <v>0</v>
      </c>
      <c r="V359" s="58">
        <f t="shared" si="1674"/>
        <v>0</v>
      </c>
      <c r="W359" s="58">
        <f t="shared" si="1674"/>
        <v>0</v>
      </c>
      <c r="X359" s="63">
        <f t="shared" ref="X359:Y359" si="1675">IF(O359&gt;0,O359/K359,0)</f>
        <v>1</v>
      </c>
      <c r="Y359" s="63">
        <f t="shared" si="1675"/>
        <v>0</v>
      </c>
      <c r="Z359" s="63">
        <f t="shared" si="1518"/>
        <v>1</v>
      </c>
      <c r="AA359" s="58">
        <f t="shared" ref="AA359:BW359" si="1676">SUM(AA360:AA368)</f>
        <v>0</v>
      </c>
      <c r="AB359" s="58">
        <f t="shared" si="1676"/>
        <v>0</v>
      </c>
      <c r="AC359" s="58">
        <f t="shared" si="1676"/>
        <v>0</v>
      </c>
      <c r="AD359" s="58">
        <f t="shared" si="1676"/>
        <v>0</v>
      </c>
      <c r="AE359" s="58">
        <f t="shared" si="1676"/>
        <v>0</v>
      </c>
      <c r="AF359" s="58">
        <f t="shared" si="1676"/>
        <v>0</v>
      </c>
      <c r="AG359" s="58">
        <f t="shared" si="1676"/>
        <v>0</v>
      </c>
      <c r="AH359" s="58">
        <f t="shared" si="1676"/>
        <v>0</v>
      </c>
      <c r="AI359" s="58">
        <f t="shared" si="1676"/>
        <v>6360</v>
      </c>
      <c r="AJ359" s="58">
        <f t="shared" si="1676"/>
        <v>0</v>
      </c>
      <c r="AK359" s="58">
        <f t="shared" si="1676"/>
        <v>0</v>
      </c>
      <c r="AL359" s="58">
        <f t="shared" si="1676"/>
        <v>16040</v>
      </c>
      <c r="AM359" s="58">
        <f t="shared" si="1676"/>
        <v>0</v>
      </c>
      <c r="AN359" s="58">
        <f t="shared" si="1676"/>
        <v>0</v>
      </c>
      <c r="AO359" s="58">
        <f t="shared" si="1676"/>
        <v>104289</v>
      </c>
      <c r="AP359" s="58">
        <f t="shared" si="1676"/>
        <v>1000</v>
      </c>
      <c r="AQ359" s="58">
        <f t="shared" si="1676"/>
        <v>0</v>
      </c>
      <c r="AR359" s="58">
        <f t="shared" si="1676"/>
        <v>47070</v>
      </c>
      <c r="AS359" s="58">
        <f t="shared" si="1676"/>
        <v>0</v>
      </c>
      <c r="AT359" s="58">
        <f t="shared" si="1676"/>
        <v>0</v>
      </c>
      <c r="AU359" s="58">
        <f t="shared" si="1676"/>
        <v>49080</v>
      </c>
      <c r="AV359" s="58">
        <f t="shared" si="1676"/>
        <v>0</v>
      </c>
      <c r="AW359" s="58">
        <f t="shared" si="1676"/>
        <v>0</v>
      </c>
      <c r="AX359" s="58">
        <f t="shared" si="1676"/>
        <v>127400</v>
      </c>
      <c r="AY359" s="58">
        <f t="shared" si="1676"/>
        <v>0</v>
      </c>
      <c r="AZ359" s="58">
        <f t="shared" si="1676"/>
        <v>0</v>
      </c>
      <c r="BA359" s="58">
        <f t="shared" si="1676"/>
        <v>103232</v>
      </c>
      <c r="BB359" s="58">
        <f t="shared" si="1676"/>
        <v>0</v>
      </c>
      <c r="BC359" s="58">
        <f t="shared" si="1676"/>
        <v>0</v>
      </c>
      <c r="BD359" s="58">
        <f t="shared" si="1676"/>
        <v>104284</v>
      </c>
      <c r="BE359" s="58">
        <f t="shared" si="1676"/>
        <v>0</v>
      </c>
      <c r="BF359" s="58">
        <f t="shared" si="1676"/>
        <v>0</v>
      </c>
      <c r="BG359" s="58">
        <f t="shared" si="1676"/>
        <v>99670</v>
      </c>
      <c r="BH359" s="58">
        <f t="shared" si="1676"/>
        <v>0</v>
      </c>
      <c r="BI359" s="58">
        <f t="shared" si="1676"/>
        <v>0</v>
      </c>
      <c r="BJ359" s="58">
        <f t="shared" si="1676"/>
        <v>92170</v>
      </c>
      <c r="BK359" s="58">
        <f t="shared" si="1676"/>
        <v>1000</v>
      </c>
      <c r="BL359" s="58">
        <f t="shared" si="1676"/>
        <v>0</v>
      </c>
      <c r="BM359" s="58">
        <f t="shared" si="1676"/>
        <v>749595</v>
      </c>
      <c r="BN359" s="58">
        <f t="shared" si="1676"/>
        <v>0</v>
      </c>
      <c r="BO359" s="58">
        <f t="shared" si="1676"/>
        <v>0</v>
      </c>
      <c r="BP359" s="58">
        <f t="shared" si="1676"/>
        <v>0</v>
      </c>
      <c r="BQ359" s="58">
        <f t="shared" si="1676"/>
        <v>0</v>
      </c>
      <c r="BR359" s="58">
        <f t="shared" si="1676"/>
        <v>0</v>
      </c>
      <c r="BS359" s="58">
        <f t="shared" si="1676"/>
        <v>0</v>
      </c>
      <c r="BT359" s="58">
        <f t="shared" si="1676"/>
        <v>0</v>
      </c>
      <c r="BU359" s="58">
        <f t="shared" si="1676"/>
        <v>0</v>
      </c>
      <c r="BV359" s="58">
        <f t="shared" si="1676"/>
        <v>0</v>
      </c>
      <c r="BW359" s="58">
        <f t="shared" si="1676"/>
        <v>0</v>
      </c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</row>
    <row r="360" spans="1:85" ht="15.75" customHeight="1">
      <c r="A360" s="125" t="s">
        <v>658</v>
      </c>
      <c r="B360" s="85"/>
      <c r="C360" s="86" t="s">
        <v>574</v>
      </c>
      <c r="D360" s="345" t="s">
        <v>659</v>
      </c>
      <c r="E360" s="70"/>
      <c r="F360" s="71"/>
      <c r="G360" s="71">
        <f t="shared" ref="G360:G368" si="1677">E360-F360</f>
        <v>0</v>
      </c>
      <c r="H360" s="127"/>
      <c r="I360" s="72">
        <f t="shared" si="1514"/>
        <v>0</v>
      </c>
      <c r="J360" s="72">
        <f t="shared" si="1515"/>
        <v>0</v>
      </c>
      <c r="K360" s="88"/>
      <c r="L360" s="74"/>
      <c r="M360" s="81"/>
      <c r="N360" s="73">
        <f>20000+200000-3000-3000-26405+290</f>
        <v>187885</v>
      </c>
      <c r="O360" s="77">
        <f t="shared" ref="O360:Q360" si="1678">AA360+AD360+AG360+AJ360+AM360+AP360+AS360+AV360+AY360+BB360+BE360+BH360</f>
        <v>0</v>
      </c>
      <c r="P360" s="77">
        <f t="shared" si="1678"/>
        <v>0</v>
      </c>
      <c r="Q360" s="77">
        <f t="shared" si="1678"/>
        <v>187885</v>
      </c>
      <c r="R360" s="77">
        <f t="shared" ref="R360:T360" si="1679">IF(BK360=0,SUM(AA360+AD360+AG360+AJ360+AM360+AP360+AS360+AV360+AY360+BB360+BE360+BH360),BK360)</f>
        <v>0</v>
      </c>
      <c r="S360" s="77">
        <f t="shared" si="1679"/>
        <v>0</v>
      </c>
      <c r="T360" s="77">
        <f t="shared" si="1679"/>
        <v>187885</v>
      </c>
      <c r="U360" s="79">
        <f t="shared" ref="U360:U368" si="1680">K360-O360</f>
        <v>0</v>
      </c>
      <c r="V360" s="79">
        <f t="shared" ref="V360:V368" si="1681">L360-M360-S360</f>
        <v>0</v>
      </c>
      <c r="W360" s="78">
        <f t="shared" ref="W360:W368" si="1682">N360-Q360</f>
        <v>0</v>
      </c>
      <c r="X360" s="80">
        <f t="shared" ref="X360:Y360" si="1683">IF(O360&gt;0,O360/K360,0)</f>
        <v>0</v>
      </c>
      <c r="Y360" s="80">
        <f t="shared" si="1683"/>
        <v>0</v>
      </c>
      <c r="Z360" s="80">
        <f t="shared" si="1518"/>
        <v>1</v>
      </c>
      <c r="AA360" s="81"/>
      <c r="AB360" s="81"/>
      <c r="AC360" s="81"/>
      <c r="AD360" s="81"/>
      <c r="AE360" s="83"/>
      <c r="AF360" s="83"/>
      <c r="AG360" s="83"/>
      <c r="AH360" s="83"/>
      <c r="AI360" s="81">
        <f>360+1500+3000+540+960</f>
        <v>6360</v>
      </c>
      <c r="AJ360" s="81"/>
      <c r="AK360" s="81"/>
      <c r="AL360" s="81">
        <f>380+4200+4860+4200-4200+4200+2700-2700+2400</f>
        <v>16040</v>
      </c>
      <c r="AM360" s="81"/>
      <c r="AN360" s="81"/>
      <c r="AO360" s="81">
        <f>480+540+300-300+5850+6962+6823+180+478+678+218</f>
        <v>22209</v>
      </c>
      <c r="AP360" s="81"/>
      <c r="AQ360" s="81"/>
      <c r="AR360" s="81">
        <f>90+6840+6600+5880-180</f>
        <v>19230</v>
      </c>
      <c r="AS360" s="81"/>
      <c r="AT360" s="81"/>
      <c r="AU360" s="81">
        <f>720+120+1260+300+7140+6900+5280</f>
        <v>21720</v>
      </c>
      <c r="AV360" s="81"/>
      <c r="AW360" s="81"/>
      <c r="AX360" s="81">
        <f>6120+7560+6600-7560+7200+360</f>
        <v>20280</v>
      </c>
      <c r="AY360" s="81"/>
      <c r="AZ360" s="81"/>
      <c r="BA360" s="346">
        <f>120+180+6480+8004+5808</f>
        <v>20592</v>
      </c>
      <c r="BB360" s="81"/>
      <c r="BC360" s="81"/>
      <c r="BD360" s="81">
        <f>120+6120+7104+6900-180</f>
        <v>20064</v>
      </c>
      <c r="BE360" s="81"/>
      <c r="BF360" s="81"/>
      <c r="BG360" s="81">
        <f>120+5880+7680+6930</f>
        <v>20610</v>
      </c>
      <c r="BH360" s="81"/>
      <c r="BI360" s="81"/>
      <c r="BJ360" s="81">
        <f>7200+8820+4760</f>
        <v>20780</v>
      </c>
      <c r="BK360" s="82">
        <v>0</v>
      </c>
      <c r="BL360" s="82">
        <v>0</v>
      </c>
      <c r="BM360" s="82">
        <v>187885</v>
      </c>
      <c r="BN360" s="81">
        <f t="shared" ref="BN360:BN368" si="1684">IF(O360-BK360&gt;0,O360-BK360,0)</f>
        <v>0</v>
      </c>
      <c r="BO360" s="75">
        <f t="shared" ref="BO360:BO368" si="1685">IF(Q360-BM360&gt;0,Q360-BM360,0)</f>
        <v>0</v>
      </c>
      <c r="BP360" s="81">
        <f t="shared" ref="BP360:BP368" si="1686">IF(BN360+BO360&gt;0,BN360+BO360,0)</f>
        <v>0</v>
      </c>
      <c r="BQ360" s="81">
        <f t="shared" ref="BQ360:BQ368" si="1687">IF(U360=0,0,U360)</f>
        <v>0</v>
      </c>
      <c r="BR360" s="81">
        <f t="shared" ref="BR360:BR368" si="1688">IF(W360=0,0,W360)</f>
        <v>0</v>
      </c>
      <c r="BS360" s="81">
        <f t="shared" ref="BS360:BS368" si="1689">IF(BQ360+BR360&gt;0,BQ360+BR360,0)</f>
        <v>0</v>
      </c>
      <c r="BT360" s="81">
        <f t="shared" ref="BT360:BT368" si="1690">IF(V360&gt;0,V360,0)</f>
        <v>0</v>
      </c>
      <c r="BU360" s="81">
        <f t="shared" ref="BU360:BU368" si="1691">IF(BP360=0,0,BP360)</f>
        <v>0</v>
      </c>
      <c r="BV360" s="81">
        <f t="shared" ref="BV360:BV368" si="1692">IF(BS360=0,0,BS360)</f>
        <v>0</v>
      </c>
      <c r="BW360" s="81">
        <f t="shared" ref="BW360:BW368" si="1693">IF(BP360+BT360+BV360&gt;0,BP360+BT360+BV360,0)</f>
        <v>0</v>
      </c>
      <c r="BX360" s="1"/>
      <c r="BY360" s="1"/>
      <c r="BZ360" s="1"/>
      <c r="CA360" s="1"/>
      <c r="CB360" s="1"/>
      <c r="CC360" s="1"/>
      <c r="CD360" s="1"/>
      <c r="CE360" s="1"/>
      <c r="CF360" s="1"/>
      <c r="CG360" s="1"/>
    </row>
    <row r="361" spans="1:85" ht="15.75" customHeight="1">
      <c r="A361" s="125" t="s">
        <v>660</v>
      </c>
      <c r="B361" s="115"/>
      <c r="C361" s="86" t="s">
        <v>574</v>
      </c>
      <c r="D361" s="347" t="s">
        <v>661</v>
      </c>
      <c r="E361" s="70"/>
      <c r="F361" s="71"/>
      <c r="G361" s="71">
        <f t="shared" si="1677"/>
        <v>0</v>
      </c>
      <c r="H361" s="127"/>
      <c r="I361" s="72">
        <f t="shared" si="1514"/>
        <v>0</v>
      </c>
      <c r="J361" s="72">
        <f t="shared" si="1515"/>
        <v>0</v>
      </c>
      <c r="K361" s="88"/>
      <c r="L361" s="74"/>
      <c r="M361" s="81"/>
      <c r="N361" s="73">
        <f>46000+500000+578005-284-284000+284284-224500-87414.65-205885-58205.35-240</f>
        <v>547760</v>
      </c>
      <c r="O361" s="77">
        <f t="shared" ref="O361:Q361" si="1694">AA361+AD361+AG361+AJ361+AM361+AP361+AS361+AV361+AY361+BB361+BE361+BH361</f>
        <v>0</v>
      </c>
      <c r="P361" s="77">
        <f t="shared" si="1694"/>
        <v>0</v>
      </c>
      <c r="Q361" s="77">
        <f t="shared" si="1694"/>
        <v>547760</v>
      </c>
      <c r="R361" s="77">
        <f t="shared" ref="R361:T361" si="1695">IF(BK361=0,SUM(AA361+AD361+AG361+AJ361+AM361+AP361+AS361+AV361+AY361+BB361+BE361+BH361),BK361)</f>
        <v>0</v>
      </c>
      <c r="S361" s="77">
        <f t="shared" si="1695"/>
        <v>0</v>
      </c>
      <c r="T361" s="77">
        <f t="shared" si="1695"/>
        <v>547760</v>
      </c>
      <c r="U361" s="79">
        <f t="shared" si="1680"/>
        <v>0</v>
      </c>
      <c r="V361" s="79">
        <f t="shared" si="1681"/>
        <v>0</v>
      </c>
      <c r="W361" s="78">
        <f t="shared" si="1682"/>
        <v>0</v>
      </c>
      <c r="X361" s="80">
        <f t="shared" ref="X361:Y361" si="1696">IF(O361&gt;0,O361/K361,0)</f>
        <v>0</v>
      </c>
      <c r="Y361" s="80">
        <f t="shared" si="1696"/>
        <v>0</v>
      </c>
      <c r="Z361" s="80">
        <f t="shared" si="1518"/>
        <v>1</v>
      </c>
      <c r="AA361" s="81"/>
      <c r="AB361" s="81"/>
      <c r="AC361" s="81"/>
      <c r="AD361" s="81"/>
      <c r="AE361" s="83"/>
      <c r="AF361" s="83"/>
      <c r="AG361" s="83"/>
      <c r="AH361" s="83"/>
      <c r="AI361" s="81"/>
      <c r="AJ361" s="81"/>
      <c r="AK361" s="75"/>
      <c r="AL361" s="81"/>
      <c r="AM361" s="81"/>
      <c r="AN361" s="75"/>
      <c r="AO361" s="81">
        <f>47520+25920+8640-8640+8160-47520+43200+4320+480</f>
        <v>82080</v>
      </c>
      <c r="AP361" s="81"/>
      <c r="AQ361" s="75"/>
      <c r="AR361" s="75">
        <f>8640+2880+16320</f>
        <v>27840</v>
      </c>
      <c r="AS361" s="81"/>
      <c r="AT361" s="81"/>
      <c r="AU361" s="75">
        <f>15840+8640+2880</f>
        <v>27360</v>
      </c>
      <c r="AV361" s="81"/>
      <c r="AW361" s="75"/>
      <c r="AX361" s="75">
        <f>10560+42880+20160-20160+19200-10560+10240-42880+42240+960+80+640+560-560+240+8400+3680+20800-20800+20640+800</f>
        <v>107120</v>
      </c>
      <c r="AY361" s="81"/>
      <c r="AZ361" s="81"/>
      <c r="BA361" s="348">
        <f>960+5120+5600+960+5120+5600+5600+26720+13920+9600-5600+5120-5120+4960-13920+13680+240+240-160</f>
        <v>78640</v>
      </c>
      <c r="BB361" s="81"/>
      <c r="BC361" s="81"/>
      <c r="BD361" s="81">
        <f>400+960+5040+160+5600+4800+26720+13440+1360+12720+9120</f>
        <v>80320</v>
      </c>
      <c r="BE361" s="81"/>
      <c r="BF361" s="81"/>
      <c r="BG361" s="81">
        <f>480+800+1200+4800+13440+26720+5600+8160+11760</f>
        <v>72960</v>
      </c>
      <c r="BH361" s="81"/>
      <c r="BI361" s="81"/>
      <c r="BJ361" s="81">
        <f>5600+26720+13440+11760+8000+1120+4800</f>
        <v>71440</v>
      </c>
      <c r="BK361" s="82">
        <v>0</v>
      </c>
      <c r="BL361" s="82">
        <v>0</v>
      </c>
      <c r="BM361" s="82">
        <v>547760</v>
      </c>
      <c r="BN361" s="81">
        <f t="shared" si="1684"/>
        <v>0</v>
      </c>
      <c r="BO361" s="75">
        <f t="shared" si="1685"/>
        <v>0</v>
      </c>
      <c r="BP361" s="81">
        <f t="shared" si="1686"/>
        <v>0</v>
      </c>
      <c r="BQ361" s="81">
        <f t="shared" si="1687"/>
        <v>0</v>
      </c>
      <c r="BR361" s="81">
        <f t="shared" si="1688"/>
        <v>0</v>
      </c>
      <c r="BS361" s="81">
        <f t="shared" si="1689"/>
        <v>0</v>
      </c>
      <c r="BT361" s="81">
        <f t="shared" si="1690"/>
        <v>0</v>
      </c>
      <c r="BU361" s="81">
        <f t="shared" si="1691"/>
        <v>0</v>
      </c>
      <c r="BV361" s="81">
        <f t="shared" si="1692"/>
        <v>0</v>
      </c>
      <c r="BW361" s="81">
        <f t="shared" si="1693"/>
        <v>0</v>
      </c>
      <c r="BX361" s="1"/>
      <c r="BY361" s="1"/>
      <c r="BZ361" s="1"/>
      <c r="CA361" s="1"/>
      <c r="CB361" s="1"/>
      <c r="CC361" s="1"/>
      <c r="CD361" s="1"/>
      <c r="CE361" s="1"/>
      <c r="CF361" s="1"/>
      <c r="CG361" s="1"/>
    </row>
    <row r="362" spans="1:85" ht="15.75" customHeight="1">
      <c r="A362" s="125" t="s">
        <v>662</v>
      </c>
      <c r="B362" s="349"/>
      <c r="C362" s="86" t="s">
        <v>574</v>
      </c>
      <c r="D362" s="350" t="s">
        <v>663</v>
      </c>
      <c r="E362" s="70"/>
      <c r="F362" s="70"/>
      <c r="G362" s="70">
        <f t="shared" si="1677"/>
        <v>0</v>
      </c>
      <c r="H362" s="127"/>
      <c r="I362" s="187">
        <f t="shared" si="1514"/>
        <v>0</v>
      </c>
      <c r="J362" s="187">
        <f t="shared" si="1515"/>
        <v>0</v>
      </c>
      <c r="K362" s="88"/>
      <c r="L362" s="107"/>
      <c r="M362" s="88"/>
      <c r="N362" s="73">
        <f>830393.5-110000-720393.5+662331.47-295032.58-103789-1519.92-7750-254239.97</f>
        <v>0</v>
      </c>
      <c r="O362" s="79">
        <f t="shared" ref="O362:Q362" si="1697">AA362+AD362+AG362+AJ362+AM362+AP362+AS362+AV362+AY362+BB362+BE362+BH362</f>
        <v>0</v>
      </c>
      <c r="P362" s="79">
        <f t="shared" si="1697"/>
        <v>0</v>
      </c>
      <c r="Q362" s="79">
        <f t="shared" si="1697"/>
        <v>0</v>
      </c>
      <c r="R362" s="79">
        <f t="shared" ref="R362:T362" si="1698">IF(BK362=0,SUM(AA362+AD362+AG362+AJ362+AM362+AP362+AS362+AV362+AY362+BB362+BE362+BH362),BK362)</f>
        <v>0</v>
      </c>
      <c r="S362" s="79">
        <f t="shared" si="1698"/>
        <v>0</v>
      </c>
      <c r="T362" s="79">
        <f t="shared" si="1698"/>
        <v>0</v>
      </c>
      <c r="U362" s="79">
        <f t="shared" si="1680"/>
        <v>0</v>
      </c>
      <c r="V362" s="79">
        <f t="shared" si="1681"/>
        <v>0</v>
      </c>
      <c r="W362" s="78">
        <f t="shared" si="1682"/>
        <v>0</v>
      </c>
      <c r="X362" s="188">
        <f t="shared" ref="X362:Y362" si="1699">IF(O362&gt;0,O362/K362,0)</f>
        <v>0</v>
      </c>
      <c r="Y362" s="188">
        <f t="shared" si="1699"/>
        <v>0</v>
      </c>
      <c r="Z362" s="188">
        <f t="shared" si="1518"/>
        <v>0</v>
      </c>
      <c r="AA362" s="88"/>
      <c r="AB362" s="88"/>
      <c r="AC362" s="88"/>
      <c r="AD362" s="88"/>
      <c r="AE362" s="189"/>
      <c r="AF362" s="189"/>
      <c r="AG362" s="189"/>
      <c r="AH362" s="189"/>
      <c r="AI362" s="88"/>
      <c r="AJ362" s="88"/>
      <c r="AK362" s="76"/>
      <c r="AL362" s="88"/>
      <c r="AM362" s="88"/>
      <c r="AN362" s="76"/>
      <c r="AO362" s="88"/>
      <c r="AP362" s="88"/>
      <c r="AQ362" s="76"/>
      <c r="AR362" s="76"/>
      <c r="AS362" s="88"/>
      <c r="AT362" s="88"/>
      <c r="AU362" s="76"/>
      <c r="AV362" s="88"/>
      <c r="AW362" s="76"/>
      <c r="AX362" s="76"/>
      <c r="AY362" s="88"/>
      <c r="AZ362" s="88"/>
      <c r="BA362" s="351"/>
      <c r="BB362" s="88"/>
      <c r="BC362" s="88"/>
      <c r="BD362" s="88"/>
      <c r="BE362" s="88"/>
      <c r="BF362" s="88"/>
      <c r="BG362" s="88"/>
      <c r="BH362" s="88"/>
      <c r="BI362" s="88"/>
      <c r="BJ362" s="88"/>
      <c r="BK362" s="82">
        <v>0</v>
      </c>
      <c r="BL362" s="82">
        <v>0</v>
      </c>
      <c r="BM362" s="82">
        <v>0</v>
      </c>
      <c r="BN362" s="81">
        <f t="shared" si="1684"/>
        <v>0</v>
      </c>
      <c r="BO362" s="75">
        <f t="shared" si="1685"/>
        <v>0</v>
      </c>
      <c r="BP362" s="81">
        <f t="shared" si="1686"/>
        <v>0</v>
      </c>
      <c r="BQ362" s="81">
        <f t="shared" si="1687"/>
        <v>0</v>
      </c>
      <c r="BR362" s="81">
        <f t="shared" si="1688"/>
        <v>0</v>
      </c>
      <c r="BS362" s="81">
        <f t="shared" si="1689"/>
        <v>0</v>
      </c>
      <c r="BT362" s="81">
        <f t="shared" si="1690"/>
        <v>0</v>
      </c>
      <c r="BU362" s="81">
        <f t="shared" si="1691"/>
        <v>0</v>
      </c>
      <c r="BV362" s="81">
        <f t="shared" si="1692"/>
        <v>0</v>
      </c>
      <c r="BW362" s="81">
        <f t="shared" si="1693"/>
        <v>0</v>
      </c>
      <c r="BX362" s="190"/>
      <c r="BY362" s="190"/>
      <c r="BZ362" s="190"/>
      <c r="CA362" s="190"/>
      <c r="CB362" s="190"/>
      <c r="CC362" s="190"/>
      <c r="CD362" s="190"/>
      <c r="CE362" s="190"/>
      <c r="CF362" s="190"/>
      <c r="CG362" s="190"/>
    </row>
    <row r="363" spans="1:85" ht="15.75" customHeight="1">
      <c r="A363" s="125" t="s">
        <v>664</v>
      </c>
      <c r="B363" s="349"/>
      <c r="C363" s="86" t="s">
        <v>574</v>
      </c>
      <c r="D363" s="350" t="s">
        <v>665</v>
      </c>
      <c r="E363" s="70"/>
      <c r="F363" s="70"/>
      <c r="G363" s="70">
        <f t="shared" si="1677"/>
        <v>0</v>
      </c>
      <c r="H363" s="127"/>
      <c r="I363" s="187">
        <f t="shared" si="1514"/>
        <v>0</v>
      </c>
      <c r="J363" s="187">
        <f t="shared" si="1515"/>
        <v>0</v>
      </c>
      <c r="K363" s="88"/>
      <c r="L363" s="107"/>
      <c r="M363" s="88"/>
      <c r="N363" s="73">
        <f>4500+3000+3000-2200-50</f>
        <v>8250</v>
      </c>
      <c r="O363" s="79">
        <f t="shared" ref="O363:Q363" si="1700">AA363+AD363+AG363+AJ363+AM363+AP363+AS363+AV363+AY363+BB363+BE363+BH363</f>
        <v>0</v>
      </c>
      <c r="P363" s="79">
        <f t="shared" si="1700"/>
        <v>0</v>
      </c>
      <c r="Q363" s="79">
        <f t="shared" si="1700"/>
        <v>8250</v>
      </c>
      <c r="R363" s="79">
        <f t="shared" ref="R363:T363" si="1701">IF(BK363=0,SUM(AA363+AD363+AG363+AJ363+AM363+AP363+AS363+AV363+AY363+BB363+BE363+BH363),BK363)</f>
        <v>0</v>
      </c>
      <c r="S363" s="79">
        <f t="shared" si="1701"/>
        <v>0</v>
      </c>
      <c r="T363" s="79">
        <f t="shared" si="1701"/>
        <v>8250</v>
      </c>
      <c r="U363" s="79">
        <f t="shared" si="1680"/>
        <v>0</v>
      </c>
      <c r="V363" s="79">
        <f t="shared" si="1681"/>
        <v>0</v>
      </c>
      <c r="W363" s="78">
        <f t="shared" si="1682"/>
        <v>0</v>
      </c>
      <c r="X363" s="188">
        <f t="shared" ref="X363:Y363" si="1702">IF(O363&gt;0,O363/K363,0)</f>
        <v>0</v>
      </c>
      <c r="Y363" s="188">
        <f t="shared" si="1702"/>
        <v>0</v>
      </c>
      <c r="Z363" s="188">
        <f t="shared" si="1518"/>
        <v>1</v>
      </c>
      <c r="AA363" s="88"/>
      <c r="AB363" s="88"/>
      <c r="AC363" s="88"/>
      <c r="AD363" s="88"/>
      <c r="AE363" s="189"/>
      <c r="AF363" s="189"/>
      <c r="AG363" s="189"/>
      <c r="AH363" s="189"/>
      <c r="AI363" s="88"/>
      <c r="AJ363" s="88"/>
      <c r="AK363" s="76"/>
      <c r="AL363" s="88"/>
      <c r="AM363" s="88"/>
      <c r="AN363" s="76"/>
      <c r="AO363" s="88"/>
      <c r="AP363" s="88"/>
      <c r="AQ363" s="76"/>
      <c r="AR363" s="76"/>
      <c r="AS363" s="88"/>
      <c r="AT363" s="88"/>
      <c r="AU363" s="76"/>
      <c r="AV363" s="88"/>
      <c r="AW363" s="76"/>
      <c r="AX363" s="76"/>
      <c r="AY363" s="88"/>
      <c r="AZ363" s="88"/>
      <c r="BA363" s="352">
        <v>4000</v>
      </c>
      <c r="BB363" s="88"/>
      <c r="BC363" s="88"/>
      <c r="BD363" s="88">
        <f>3000+200+600+100</f>
        <v>3900</v>
      </c>
      <c r="BE363" s="88"/>
      <c r="BF363" s="88"/>
      <c r="BG363" s="88">
        <f>400</f>
        <v>400</v>
      </c>
      <c r="BH363" s="88"/>
      <c r="BI363" s="88"/>
      <c r="BJ363" s="73">
        <v>-50</v>
      </c>
      <c r="BK363" s="82">
        <v>0</v>
      </c>
      <c r="BL363" s="82">
        <v>0</v>
      </c>
      <c r="BM363" s="82">
        <v>8250</v>
      </c>
      <c r="BN363" s="81">
        <f t="shared" si="1684"/>
        <v>0</v>
      </c>
      <c r="BO363" s="75">
        <f t="shared" si="1685"/>
        <v>0</v>
      </c>
      <c r="BP363" s="81">
        <f t="shared" si="1686"/>
        <v>0</v>
      </c>
      <c r="BQ363" s="81">
        <f t="shared" si="1687"/>
        <v>0</v>
      </c>
      <c r="BR363" s="81">
        <f t="shared" si="1688"/>
        <v>0</v>
      </c>
      <c r="BS363" s="81">
        <f t="shared" si="1689"/>
        <v>0</v>
      </c>
      <c r="BT363" s="81">
        <f t="shared" si="1690"/>
        <v>0</v>
      </c>
      <c r="BU363" s="81">
        <f t="shared" si="1691"/>
        <v>0</v>
      </c>
      <c r="BV363" s="81">
        <f t="shared" si="1692"/>
        <v>0</v>
      </c>
      <c r="BW363" s="81">
        <f t="shared" si="1693"/>
        <v>0</v>
      </c>
      <c r="BX363" s="190"/>
      <c r="BY363" s="190"/>
      <c r="BZ363" s="190"/>
      <c r="CA363" s="190"/>
      <c r="CB363" s="190"/>
      <c r="CC363" s="190"/>
      <c r="CD363" s="190"/>
      <c r="CE363" s="190"/>
      <c r="CF363" s="190"/>
      <c r="CG363" s="190"/>
    </row>
    <row r="364" spans="1:85" ht="15.75" customHeight="1">
      <c r="A364" s="125" t="s">
        <v>666</v>
      </c>
      <c r="B364" s="115"/>
      <c r="C364" s="86" t="s">
        <v>574</v>
      </c>
      <c r="D364" s="353" t="s">
        <v>667</v>
      </c>
      <c r="E364" s="70"/>
      <c r="F364" s="71"/>
      <c r="G364" s="71">
        <f t="shared" si="1677"/>
        <v>0</v>
      </c>
      <c r="H364" s="127"/>
      <c r="I364" s="72">
        <f t="shared" si="1514"/>
        <v>0</v>
      </c>
      <c r="J364" s="72">
        <f t="shared" si="1515"/>
        <v>0</v>
      </c>
      <c r="K364" s="88"/>
      <c r="L364" s="74"/>
      <c r="M364" s="81"/>
      <c r="N364" s="88">
        <f>5700</f>
        <v>5700</v>
      </c>
      <c r="O364" s="77">
        <f t="shared" ref="O364:Q364" si="1703">AA364+AD364+AG364+AJ364+AM364+AP364+AS364+AV364+AY364+BB364+BE364+BH364</f>
        <v>0</v>
      </c>
      <c r="P364" s="77">
        <f t="shared" si="1703"/>
        <v>0</v>
      </c>
      <c r="Q364" s="77">
        <f t="shared" si="1703"/>
        <v>5700</v>
      </c>
      <c r="R364" s="77">
        <f t="shared" ref="R364:T364" si="1704">IF(BK364=0,SUM(AA364+AD364+AG364+AJ364+AM364+AP364+AS364+AV364+AY364+BB364+BE364+BH364),BK364)</f>
        <v>0</v>
      </c>
      <c r="S364" s="77">
        <f t="shared" si="1704"/>
        <v>0</v>
      </c>
      <c r="T364" s="77">
        <f t="shared" si="1704"/>
        <v>5700</v>
      </c>
      <c r="U364" s="79">
        <f t="shared" si="1680"/>
        <v>0</v>
      </c>
      <c r="V364" s="79">
        <f t="shared" si="1681"/>
        <v>0</v>
      </c>
      <c r="W364" s="78">
        <f t="shared" si="1682"/>
        <v>0</v>
      </c>
      <c r="X364" s="80">
        <f t="shared" ref="X364:Y364" si="1705">IF(O364&gt;0,O364/K364,0)</f>
        <v>0</v>
      </c>
      <c r="Y364" s="80">
        <f t="shared" si="1705"/>
        <v>0</v>
      </c>
      <c r="Z364" s="80">
        <f t="shared" si="1518"/>
        <v>1</v>
      </c>
      <c r="AA364" s="81"/>
      <c r="AB364" s="81"/>
      <c r="AC364" s="81"/>
      <c r="AD364" s="81"/>
      <c r="AE364" s="83"/>
      <c r="AF364" s="83"/>
      <c r="AG364" s="83"/>
      <c r="AH364" s="83"/>
      <c r="AI364" s="81"/>
      <c r="AJ364" s="81"/>
      <c r="AK364" s="75"/>
      <c r="AL364" s="81"/>
      <c r="AM364" s="81"/>
      <c r="AN364" s="75"/>
      <c r="AO364" s="81"/>
      <c r="AP364" s="81"/>
      <c r="AQ364" s="75"/>
      <c r="AR364" s="75"/>
      <c r="AS364" s="81"/>
      <c r="AT364" s="81"/>
      <c r="AU364" s="75"/>
      <c r="AV364" s="81"/>
      <c r="AW364" s="75"/>
      <c r="AX364" s="75"/>
      <c r="AY364" s="81"/>
      <c r="AZ364" s="81"/>
      <c r="BA364" s="348"/>
      <c r="BB364" s="81"/>
      <c r="BC364" s="81"/>
      <c r="BD364" s="81"/>
      <c r="BE364" s="81"/>
      <c r="BF364" s="81"/>
      <c r="BG364" s="82">
        <v>5700</v>
      </c>
      <c r="BH364" s="81"/>
      <c r="BI364" s="81"/>
      <c r="BJ364" s="81"/>
      <c r="BK364" s="82">
        <v>0</v>
      </c>
      <c r="BL364" s="82">
        <v>0</v>
      </c>
      <c r="BM364" s="82">
        <v>5700</v>
      </c>
      <c r="BN364" s="81">
        <f t="shared" si="1684"/>
        <v>0</v>
      </c>
      <c r="BO364" s="75">
        <f t="shared" si="1685"/>
        <v>0</v>
      </c>
      <c r="BP364" s="81">
        <f t="shared" si="1686"/>
        <v>0</v>
      </c>
      <c r="BQ364" s="81">
        <f t="shared" si="1687"/>
        <v>0</v>
      </c>
      <c r="BR364" s="81">
        <f t="shared" si="1688"/>
        <v>0</v>
      </c>
      <c r="BS364" s="81">
        <f t="shared" si="1689"/>
        <v>0</v>
      </c>
      <c r="BT364" s="81">
        <f t="shared" si="1690"/>
        <v>0</v>
      </c>
      <c r="BU364" s="81">
        <f t="shared" si="1691"/>
        <v>0</v>
      </c>
      <c r="BV364" s="81">
        <f t="shared" si="1692"/>
        <v>0</v>
      </c>
      <c r="BW364" s="81">
        <f t="shared" si="1693"/>
        <v>0</v>
      </c>
      <c r="BX364" s="1"/>
      <c r="BY364" s="1"/>
      <c r="BZ364" s="1"/>
      <c r="CA364" s="1"/>
      <c r="CB364" s="1"/>
      <c r="CC364" s="1"/>
      <c r="CD364" s="1"/>
      <c r="CE364" s="1"/>
      <c r="CF364" s="1"/>
      <c r="CG364" s="1"/>
    </row>
    <row r="365" spans="1:85" ht="15.75" customHeight="1">
      <c r="A365" s="84"/>
      <c r="B365" s="115"/>
      <c r="C365" s="86" t="s">
        <v>448</v>
      </c>
      <c r="D365" s="87" t="s">
        <v>449</v>
      </c>
      <c r="E365" s="70"/>
      <c r="F365" s="71"/>
      <c r="G365" s="71">
        <f t="shared" si="1677"/>
        <v>0</v>
      </c>
      <c r="H365" s="70"/>
      <c r="I365" s="72">
        <f t="shared" si="1514"/>
        <v>0</v>
      </c>
      <c r="J365" s="72">
        <f t="shared" si="1515"/>
        <v>0</v>
      </c>
      <c r="K365" s="88"/>
      <c r="L365" s="74"/>
      <c r="M365" s="81"/>
      <c r="N365" s="107"/>
      <c r="O365" s="77">
        <f t="shared" ref="O365:Q365" si="1706">AA365+AD365+AG365+AJ365+AM365+AP365+AS365+AV365+AY365+BB365+BE365+BH365</f>
        <v>0</v>
      </c>
      <c r="P365" s="77">
        <f t="shared" si="1706"/>
        <v>0</v>
      </c>
      <c r="Q365" s="77">
        <f t="shared" si="1706"/>
        <v>0</v>
      </c>
      <c r="R365" s="77">
        <f t="shared" ref="R365:T365" si="1707">IF(BK365=0,SUM(AA365+AD365+AG365+AJ365+AM365+AP365+AS365+AV365+AY365+BB365+BE365+BH365),BK365)</f>
        <v>0</v>
      </c>
      <c r="S365" s="77">
        <f t="shared" si="1707"/>
        <v>0</v>
      </c>
      <c r="T365" s="77">
        <f t="shared" si="1707"/>
        <v>0</v>
      </c>
      <c r="U365" s="79">
        <f t="shared" si="1680"/>
        <v>0</v>
      </c>
      <c r="V365" s="79">
        <f t="shared" si="1681"/>
        <v>0</v>
      </c>
      <c r="W365" s="79">
        <f t="shared" si="1682"/>
        <v>0</v>
      </c>
      <c r="X365" s="80">
        <f t="shared" ref="X365:Y365" si="1708">IF(O365&gt;0,O365/K365,0)</f>
        <v>0</v>
      </c>
      <c r="Y365" s="80">
        <f t="shared" si="1708"/>
        <v>0</v>
      </c>
      <c r="Z365" s="80">
        <f t="shared" si="1518"/>
        <v>0</v>
      </c>
      <c r="AA365" s="81"/>
      <c r="AB365" s="81"/>
      <c r="AC365" s="81"/>
      <c r="AD365" s="81"/>
      <c r="AE365" s="83"/>
      <c r="AF365" s="83"/>
      <c r="AG365" s="83"/>
      <c r="AH365" s="83"/>
      <c r="AI365" s="81"/>
      <c r="AJ365" s="81"/>
      <c r="AK365" s="75"/>
      <c r="AL365" s="81"/>
      <c r="AM365" s="81"/>
      <c r="AN365" s="75"/>
      <c r="AO365" s="81"/>
      <c r="AP365" s="81"/>
      <c r="AQ365" s="75"/>
      <c r="AR365" s="75"/>
      <c r="AS365" s="81"/>
      <c r="AT365" s="81"/>
      <c r="AU365" s="75"/>
      <c r="AV365" s="81"/>
      <c r="AW365" s="75"/>
      <c r="AX365" s="75"/>
      <c r="AY365" s="81"/>
      <c r="AZ365" s="81"/>
      <c r="BA365" s="348"/>
      <c r="BB365" s="81"/>
      <c r="BC365" s="81"/>
      <c r="BD365" s="81"/>
      <c r="BE365" s="81"/>
      <c r="BF365" s="81"/>
      <c r="BG365" s="81"/>
      <c r="BH365" s="81"/>
      <c r="BI365" s="81"/>
      <c r="BJ365" s="81"/>
      <c r="BK365" s="82">
        <v>0</v>
      </c>
      <c r="BL365" s="82">
        <v>0</v>
      </c>
      <c r="BM365" s="82">
        <v>0</v>
      </c>
      <c r="BN365" s="81">
        <f t="shared" si="1684"/>
        <v>0</v>
      </c>
      <c r="BO365" s="75">
        <f t="shared" si="1685"/>
        <v>0</v>
      </c>
      <c r="BP365" s="81">
        <f t="shared" si="1686"/>
        <v>0</v>
      </c>
      <c r="BQ365" s="81">
        <f t="shared" si="1687"/>
        <v>0</v>
      </c>
      <c r="BR365" s="81">
        <f t="shared" si="1688"/>
        <v>0</v>
      </c>
      <c r="BS365" s="81">
        <f t="shared" si="1689"/>
        <v>0</v>
      </c>
      <c r="BT365" s="81">
        <f t="shared" si="1690"/>
        <v>0</v>
      </c>
      <c r="BU365" s="81">
        <f t="shared" si="1691"/>
        <v>0</v>
      </c>
      <c r="BV365" s="81">
        <f t="shared" si="1692"/>
        <v>0</v>
      </c>
      <c r="BW365" s="81">
        <f t="shared" si="1693"/>
        <v>0</v>
      </c>
      <c r="BX365" s="1"/>
      <c r="BY365" s="1"/>
      <c r="BZ365" s="1"/>
      <c r="CA365" s="1"/>
      <c r="CB365" s="1"/>
      <c r="CC365" s="1"/>
      <c r="CD365" s="1"/>
      <c r="CE365" s="1"/>
      <c r="CF365" s="1"/>
      <c r="CG365" s="1"/>
    </row>
    <row r="366" spans="1:85" ht="15.75" customHeight="1">
      <c r="A366" s="84"/>
      <c r="B366" s="115"/>
      <c r="C366" s="86" t="s">
        <v>448</v>
      </c>
      <c r="D366" s="87" t="s">
        <v>449</v>
      </c>
      <c r="E366" s="70"/>
      <c r="F366" s="71"/>
      <c r="G366" s="71">
        <f t="shared" si="1677"/>
        <v>0</v>
      </c>
      <c r="H366" s="70"/>
      <c r="I366" s="72">
        <f t="shared" si="1514"/>
        <v>0</v>
      </c>
      <c r="J366" s="72">
        <f t="shared" si="1515"/>
        <v>0</v>
      </c>
      <c r="K366" s="88"/>
      <c r="L366" s="74"/>
      <c r="M366" s="81"/>
      <c r="N366" s="88"/>
      <c r="O366" s="77">
        <f t="shared" ref="O366:Q366" si="1709">AA366+AD366+AG366+AJ366+AM366+AP366+AS366+AV366+AY366+BB366+BE366+BH366</f>
        <v>0</v>
      </c>
      <c r="P366" s="77">
        <f t="shared" si="1709"/>
        <v>0</v>
      </c>
      <c r="Q366" s="77">
        <f t="shared" si="1709"/>
        <v>0</v>
      </c>
      <c r="R366" s="77">
        <f t="shared" ref="R366:T366" si="1710">IF(BK366=0,SUM(AA366+AD366+AG366+AJ366+AM366+AP366+AS366+AV366+AY366+BB366+BE366+BH366),BK366)</f>
        <v>0</v>
      </c>
      <c r="S366" s="77">
        <f t="shared" si="1710"/>
        <v>0</v>
      </c>
      <c r="T366" s="77">
        <f t="shared" si="1710"/>
        <v>0</v>
      </c>
      <c r="U366" s="79">
        <f t="shared" si="1680"/>
        <v>0</v>
      </c>
      <c r="V366" s="79">
        <f t="shared" si="1681"/>
        <v>0</v>
      </c>
      <c r="W366" s="79">
        <f t="shared" si="1682"/>
        <v>0</v>
      </c>
      <c r="X366" s="80">
        <f t="shared" ref="X366:Y366" si="1711">IF(O366&gt;0,O366/K366,0)</f>
        <v>0</v>
      </c>
      <c r="Y366" s="80">
        <f t="shared" si="1711"/>
        <v>0</v>
      </c>
      <c r="Z366" s="80">
        <f t="shared" si="1518"/>
        <v>0</v>
      </c>
      <c r="AA366" s="81"/>
      <c r="AB366" s="81"/>
      <c r="AC366" s="81"/>
      <c r="AD366" s="81"/>
      <c r="AE366" s="83"/>
      <c r="AF366" s="83"/>
      <c r="AG366" s="83"/>
      <c r="AH366" s="83"/>
      <c r="AI366" s="81"/>
      <c r="AJ366" s="81"/>
      <c r="AK366" s="75"/>
      <c r="AL366" s="81"/>
      <c r="AM366" s="81"/>
      <c r="AN366" s="75"/>
      <c r="AO366" s="81"/>
      <c r="AP366" s="81"/>
      <c r="AQ366" s="75"/>
      <c r="AR366" s="75"/>
      <c r="AS366" s="81"/>
      <c r="AT366" s="81"/>
      <c r="AU366" s="75"/>
      <c r="AV366" s="81"/>
      <c r="AW366" s="75"/>
      <c r="AX366" s="75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2">
        <v>0</v>
      </c>
      <c r="BL366" s="82">
        <v>0</v>
      </c>
      <c r="BM366" s="82">
        <v>0</v>
      </c>
      <c r="BN366" s="81">
        <f t="shared" si="1684"/>
        <v>0</v>
      </c>
      <c r="BO366" s="75">
        <f t="shared" si="1685"/>
        <v>0</v>
      </c>
      <c r="BP366" s="81">
        <f t="shared" si="1686"/>
        <v>0</v>
      </c>
      <c r="BQ366" s="81">
        <f t="shared" si="1687"/>
        <v>0</v>
      </c>
      <c r="BR366" s="81">
        <f t="shared" si="1688"/>
        <v>0</v>
      </c>
      <c r="BS366" s="81">
        <f t="shared" si="1689"/>
        <v>0</v>
      </c>
      <c r="BT366" s="81">
        <f t="shared" si="1690"/>
        <v>0</v>
      </c>
      <c r="BU366" s="81">
        <f t="shared" si="1691"/>
        <v>0</v>
      </c>
      <c r="BV366" s="81">
        <f t="shared" si="1692"/>
        <v>0</v>
      </c>
      <c r="BW366" s="81">
        <f t="shared" si="1693"/>
        <v>0</v>
      </c>
      <c r="BX366" s="1"/>
      <c r="BY366" s="1"/>
      <c r="BZ366" s="1"/>
      <c r="CA366" s="1"/>
      <c r="CB366" s="1"/>
      <c r="CC366" s="1"/>
      <c r="CD366" s="1"/>
      <c r="CE366" s="1"/>
      <c r="CF366" s="1"/>
      <c r="CG366" s="1"/>
    </row>
    <row r="367" spans="1:85" ht="15.75" customHeight="1">
      <c r="A367" s="125" t="s">
        <v>668</v>
      </c>
      <c r="B367" s="115"/>
      <c r="C367" s="86" t="s">
        <v>448</v>
      </c>
      <c r="D367" s="87" t="s">
        <v>669</v>
      </c>
      <c r="E367" s="70"/>
      <c r="F367" s="71"/>
      <c r="G367" s="71">
        <f t="shared" si="1677"/>
        <v>0</v>
      </c>
      <c r="H367" s="70"/>
      <c r="I367" s="72">
        <f t="shared" si="1514"/>
        <v>0</v>
      </c>
      <c r="J367" s="72">
        <f t="shared" si="1515"/>
        <v>0</v>
      </c>
      <c r="K367" s="73">
        <v>1000</v>
      </c>
      <c r="L367" s="74"/>
      <c r="M367" s="81"/>
      <c r="N367" s="88"/>
      <c r="O367" s="77">
        <f t="shared" ref="O367:Q367" si="1712">AA367+AD367+AG367+AJ367+AM367+AP367+AS367+AV367+AY367+BB367+BE367+BH367</f>
        <v>1000</v>
      </c>
      <c r="P367" s="77">
        <f t="shared" si="1712"/>
        <v>0</v>
      </c>
      <c r="Q367" s="77">
        <f t="shared" si="1712"/>
        <v>0</v>
      </c>
      <c r="R367" s="77">
        <f t="shared" ref="R367:T367" si="1713">IF(BK367=0,SUM(AA367+AD367+AG367+AJ367+AM367+AP367+AS367+AV367+AY367+BB367+BE367+BH367),BK367)</f>
        <v>1000</v>
      </c>
      <c r="S367" s="77">
        <f t="shared" si="1713"/>
        <v>0</v>
      </c>
      <c r="T367" s="77">
        <f t="shared" si="1713"/>
        <v>0</v>
      </c>
      <c r="U367" s="79">
        <f t="shared" si="1680"/>
        <v>0</v>
      </c>
      <c r="V367" s="79">
        <f t="shared" si="1681"/>
        <v>0</v>
      </c>
      <c r="W367" s="79">
        <f t="shared" si="1682"/>
        <v>0</v>
      </c>
      <c r="X367" s="80">
        <f t="shared" ref="X367:Y367" si="1714">IF(O367&gt;0,O367/K367,0)</f>
        <v>1</v>
      </c>
      <c r="Y367" s="80">
        <f t="shared" si="1714"/>
        <v>0</v>
      </c>
      <c r="Z367" s="80">
        <f t="shared" si="1518"/>
        <v>0</v>
      </c>
      <c r="AA367" s="81"/>
      <c r="AB367" s="81"/>
      <c r="AC367" s="81"/>
      <c r="AD367" s="81"/>
      <c r="AE367" s="83"/>
      <c r="AF367" s="83"/>
      <c r="AG367" s="83"/>
      <c r="AH367" s="83"/>
      <c r="AI367" s="81"/>
      <c r="AJ367" s="81"/>
      <c r="AK367" s="75"/>
      <c r="AL367" s="81"/>
      <c r="AM367" s="81"/>
      <c r="AN367" s="75"/>
      <c r="AO367" s="81"/>
      <c r="AP367" s="82">
        <v>1000</v>
      </c>
      <c r="AQ367" s="75"/>
      <c r="AR367" s="75"/>
      <c r="AS367" s="81"/>
      <c r="AT367" s="81"/>
      <c r="AU367" s="75"/>
      <c r="AV367" s="81"/>
      <c r="AW367" s="75"/>
      <c r="AX367" s="75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2">
        <v>1000</v>
      </c>
      <c r="BL367" s="82">
        <v>0</v>
      </c>
      <c r="BM367" s="82">
        <v>0</v>
      </c>
      <c r="BN367" s="81">
        <f t="shared" si="1684"/>
        <v>0</v>
      </c>
      <c r="BO367" s="75">
        <f t="shared" si="1685"/>
        <v>0</v>
      </c>
      <c r="BP367" s="81">
        <f t="shared" si="1686"/>
        <v>0</v>
      </c>
      <c r="BQ367" s="81">
        <f t="shared" si="1687"/>
        <v>0</v>
      </c>
      <c r="BR367" s="81">
        <f t="shared" si="1688"/>
        <v>0</v>
      </c>
      <c r="BS367" s="81">
        <f t="shared" si="1689"/>
        <v>0</v>
      </c>
      <c r="BT367" s="81">
        <f t="shared" si="1690"/>
        <v>0</v>
      </c>
      <c r="BU367" s="81">
        <f t="shared" si="1691"/>
        <v>0</v>
      </c>
      <c r="BV367" s="81">
        <f t="shared" si="1692"/>
        <v>0</v>
      </c>
      <c r="BW367" s="81">
        <f t="shared" si="1693"/>
        <v>0</v>
      </c>
      <c r="BX367" s="1"/>
      <c r="BY367" s="1"/>
      <c r="BZ367" s="1"/>
      <c r="CA367" s="1"/>
      <c r="CB367" s="1"/>
      <c r="CC367" s="1"/>
      <c r="CD367" s="1"/>
      <c r="CE367" s="1"/>
      <c r="CF367" s="1"/>
      <c r="CG367" s="1"/>
    </row>
    <row r="368" spans="1:85" ht="15.75" customHeight="1">
      <c r="A368" s="84"/>
      <c r="B368" s="115"/>
      <c r="C368" s="86" t="s">
        <v>448</v>
      </c>
      <c r="D368" s="87" t="s">
        <v>670</v>
      </c>
      <c r="E368" s="70"/>
      <c r="F368" s="71"/>
      <c r="G368" s="71">
        <f t="shared" si="1677"/>
        <v>0</v>
      </c>
      <c r="H368" s="70"/>
      <c r="I368" s="72">
        <f t="shared" si="1514"/>
        <v>0</v>
      </c>
      <c r="J368" s="72">
        <f t="shared" si="1515"/>
        <v>0</v>
      </c>
      <c r="K368" s="88"/>
      <c r="L368" s="74"/>
      <c r="M368" s="81"/>
      <c r="N368" s="88"/>
      <c r="O368" s="77">
        <f t="shared" ref="O368:Q368" si="1715">AA368+AD368+AG368+AJ368+AM368+AP368+AS368+AV368+AY368+BB368+BE368+BH368</f>
        <v>0</v>
      </c>
      <c r="P368" s="77">
        <f t="shared" si="1715"/>
        <v>0</v>
      </c>
      <c r="Q368" s="77">
        <f t="shared" si="1715"/>
        <v>0</v>
      </c>
      <c r="R368" s="77">
        <f t="shared" ref="R368:T368" si="1716">IF(BK368=0,SUM(AA368+AD368+AG368+AJ368+AM368+AP368+AS368+AV368+AY368+BB368+BE368+BH368),BK368)</f>
        <v>0</v>
      </c>
      <c r="S368" s="77">
        <f t="shared" si="1716"/>
        <v>0</v>
      </c>
      <c r="T368" s="77">
        <f t="shared" si="1716"/>
        <v>0</v>
      </c>
      <c r="U368" s="79">
        <f t="shared" si="1680"/>
        <v>0</v>
      </c>
      <c r="V368" s="79">
        <f t="shared" si="1681"/>
        <v>0</v>
      </c>
      <c r="W368" s="79">
        <f t="shared" si="1682"/>
        <v>0</v>
      </c>
      <c r="X368" s="80">
        <f t="shared" ref="X368:Y368" si="1717">IF(O368&gt;0,O368/K368,0)</f>
        <v>0</v>
      </c>
      <c r="Y368" s="80">
        <f t="shared" si="1717"/>
        <v>0</v>
      </c>
      <c r="Z368" s="80">
        <f t="shared" si="1518"/>
        <v>0</v>
      </c>
      <c r="AA368" s="81"/>
      <c r="AB368" s="81"/>
      <c r="AC368" s="81"/>
      <c r="AD368" s="81"/>
      <c r="AE368" s="83"/>
      <c r="AF368" s="83"/>
      <c r="AG368" s="83"/>
      <c r="AH368" s="83"/>
      <c r="AI368" s="81"/>
      <c r="AJ368" s="81"/>
      <c r="AK368" s="75"/>
      <c r="AL368" s="81"/>
      <c r="AM368" s="81"/>
      <c r="AN368" s="75"/>
      <c r="AO368" s="81"/>
      <c r="AP368" s="81"/>
      <c r="AQ368" s="75"/>
      <c r="AR368" s="75"/>
      <c r="AS368" s="81"/>
      <c r="AT368" s="81"/>
      <c r="AU368" s="75"/>
      <c r="AV368" s="81"/>
      <c r="AW368" s="75"/>
      <c r="AX368" s="75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2">
        <v>0</v>
      </c>
      <c r="BL368" s="82">
        <v>0</v>
      </c>
      <c r="BM368" s="82">
        <v>0</v>
      </c>
      <c r="BN368" s="81">
        <f t="shared" si="1684"/>
        <v>0</v>
      </c>
      <c r="BO368" s="75">
        <f t="shared" si="1685"/>
        <v>0</v>
      </c>
      <c r="BP368" s="81">
        <f t="shared" si="1686"/>
        <v>0</v>
      </c>
      <c r="BQ368" s="81">
        <f t="shared" si="1687"/>
        <v>0</v>
      </c>
      <c r="BR368" s="81">
        <f t="shared" si="1688"/>
        <v>0</v>
      </c>
      <c r="BS368" s="81">
        <f t="shared" si="1689"/>
        <v>0</v>
      </c>
      <c r="BT368" s="81">
        <f t="shared" si="1690"/>
        <v>0</v>
      </c>
      <c r="BU368" s="81">
        <f t="shared" si="1691"/>
        <v>0</v>
      </c>
      <c r="BV368" s="81">
        <f t="shared" si="1692"/>
        <v>0</v>
      </c>
      <c r="BW368" s="81">
        <f t="shared" si="1693"/>
        <v>0</v>
      </c>
      <c r="BX368" s="1"/>
      <c r="BY368" s="1"/>
      <c r="BZ368" s="1"/>
      <c r="CA368" s="1"/>
      <c r="CB368" s="1"/>
      <c r="CC368" s="1"/>
      <c r="CD368" s="1"/>
      <c r="CE368" s="1"/>
      <c r="CF368" s="1"/>
      <c r="CG368" s="1"/>
    </row>
    <row r="369" spans="1:85" ht="15.75" customHeight="1">
      <c r="A369" s="270"/>
      <c r="B369" s="271"/>
      <c r="C369" s="272"/>
      <c r="D369" s="112" t="s">
        <v>251</v>
      </c>
      <c r="E369" s="58">
        <f t="shared" ref="E369:H369" si="1718">E370</f>
        <v>0</v>
      </c>
      <c r="F369" s="59">
        <f t="shared" si="1718"/>
        <v>0</v>
      </c>
      <c r="G369" s="59">
        <f t="shared" si="1718"/>
        <v>0</v>
      </c>
      <c r="H369" s="59">
        <f t="shared" si="1718"/>
        <v>10000</v>
      </c>
      <c r="I369" s="60">
        <f t="shared" si="1514"/>
        <v>0</v>
      </c>
      <c r="J369" s="60">
        <f t="shared" si="1515"/>
        <v>0</v>
      </c>
      <c r="K369" s="59">
        <f t="shared" ref="K369:W369" si="1719">K370</f>
        <v>0</v>
      </c>
      <c r="L369" s="59">
        <f t="shared" si="1719"/>
        <v>0</v>
      </c>
      <c r="M369" s="59">
        <f t="shared" si="1719"/>
        <v>0</v>
      </c>
      <c r="N369" s="59">
        <f t="shared" si="1719"/>
        <v>24200</v>
      </c>
      <c r="O369" s="59">
        <f t="shared" si="1719"/>
        <v>0</v>
      </c>
      <c r="P369" s="59">
        <f t="shared" si="1719"/>
        <v>0</v>
      </c>
      <c r="Q369" s="59">
        <f t="shared" si="1719"/>
        <v>24200</v>
      </c>
      <c r="R369" s="59">
        <f t="shared" si="1719"/>
        <v>0</v>
      </c>
      <c r="S369" s="59">
        <f t="shared" si="1719"/>
        <v>0</v>
      </c>
      <c r="T369" s="59">
        <f t="shared" si="1719"/>
        <v>24200</v>
      </c>
      <c r="U369" s="59">
        <f t="shared" si="1719"/>
        <v>0</v>
      </c>
      <c r="V369" s="59">
        <f t="shared" si="1719"/>
        <v>0</v>
      </c>
      <c r="W369" s="59">
        <f t="shared" si="1719"/>
        <v>0</v>
      </c>
      <c r="X369" s="63">
        <f t="shared" ref="X369:Y369" si="1720">IF(O369&gt;0,O369/K369,0)</f>
        <v>0</v>
      </c>
      <c r="Y369" s="63">
        <f t="shared" si="1720"/>
        <v>0</v>
      </c>
      <c r="Z369" s="63">
        <f t="shared" si="1518"/>
        <v>1</v>
      </c>
      <c r="AA369" s="59">
        <f t="shared" ref="AA369:BW369" si="1721">AA370</f>
        <v>0</v>
      </c>
      <c r="AB369" s="59">
        <f t="shared" si="1721"/>
        <v>0</v>
      </c>
      <c r="AC369" s="59">
        <f t="shared" si="1721"/>
        <v>0</v>
      </c>
      <c r="AD369" s="59">
        <f t="shared" si="1721"/>
        <v>0</v>
      </c>
      <c r="AE369" s="59">
        <f t="shared" si="1721"/>
        <v>0</v>
      </c>
      <c r="AF369" s="59">
        <f t="shared" si="1721"/>
        <v>0</v>
      </c>
      <c r="AG369" s="59">
        <f t="shared" si="1721"/>
        <v>0</v>
      </c>
      <c r="AH369" s="59">
        <f t="shared" si="1721"/>
        <v>0</v>
      </c>
      <c r="AI369" s="59">
        <f t="shared" si="1721"/>
        <v>0</v>
      </c>
      <c r="AJ369" s="59">
        <f t="shared" si="1721"/>
        <v>0</v>
      </c>
      <c r="AK369" s="59">
        <f t="shared" si="1721"/>
        <v>0</v>
      </c>
      <c r="AL369" s="59">
        <f t="shared" si="1721"/>
        <v>0</v>
      </c>
      <c r="AM369" s="59">
        <f t="shared" si="1721"/>
        <v>0</v>
      </c>
      <c r="AN369" s="59">
        <f t="shared" si="1721"/>
        <v>0</v>
      </c>
      <c r="AO369" s="59">
        <f t="shared" si="1721"/>
        <v>0</v>
      </c>
      <c r="AP369" s="59">
        <f t="shared" si="1721"/>
        <v>0</v>
      </c>
      <c r="AQ369" s="59">
        <f t="shared" si="1721"/>
        <v>0</v>
      </c>
      <c r="AR369" s="59">
        <f t="shared" si="1721"/>
        <v>0</v>
      </c>
      <c r="AS369" s="59">
        <f t="shared" si="1721"/>
        <v>0</v>
      </c>
      <c r="AT369" s="59">
        <f t="shared" si="1721"/>
        <v>0</v>
      </c>
      <c r="AU369" s="59">
        <f t="shared" si="1721"/>
        <v>0</v>
      </c>
      <c r="AV369" s="59">
        <f t="shared" si="1721"/>
        <v>0</v>
      </c>
      <c r="AW369" s="59">
        <f t="shared" si="1721"/>
        <v>0</v>
      </c>
      <c r="AX369" s="59">
        <f t="shared" si="1721"/>
        <v>0</v>
      </c>
      <c r="AY369" s="59">
        <f t="shared" si="1721"/>
        <v>0</v>
      </c>
      <c r="AZ369" s="59">
        <f t="shared" si="1721"/>
        <v>0</v>
      </c>
      <c r="BA369" s="59">
        <f t="shared" si="1721"/>
        <v>0</v>
      </c>
      <c r="BB369" s="59">
        <f t="shared" si="1721"/>
        <v>0</v>
      </c>
      <c r="BC369" s="59">
        <f t="shared" si="1721"/>
        <v>0</v>
      </c>
      <c r="BD369" s="59">
        <f t="shared" si="1721"/>
        <v>0</v>
      </c>
      <c r="BE369" s="59">
        <f t="shared" si="1721"/>
        <v>0</v>
      </c>
      <c r="BF369" s="59">
        <f t="shared" si="1721"/>
        <v>0</v>
      </c>
      <c r="BG369" s="59">
        <f t="shared" si="1721"/>
        <v>0</v>
      </c>
      <c r="BH369" s="59">
        <f t="shared" si="1721"/>
        <v>0</v>
      </c>
      <c r="BI369" s="59">
        <f t="shared" si="1721"/>
        <v>0</v>
      </c>
      <c r="BJ369" s="59">
        <f t="shared" si="1721"/>
        <v>24200</v>
      </c>
      <c r="BK369" s="59">
        <f t="shared" si="1721"/>
        <v>0</v>
      </c>
      <c r="BL369" s="59">
        <f t="shared" si="1721"/>
        <v>0</v>
      </c>
      <c r="BM369" s="59">
        <f t="shared" si="1721"/>
        <v>24200</v>
      </c>
      <c r="BN369" s="59">
        <f t="shared" si="1721"/>
        <v>0</v>
      </c>
      <c r="BO369" s="59">
        <f t="shared" si="1721"/>
        <v>0</v>
      </c>
      <c r="BP369" s="59">
        <f t="shared" si="1721"/>
        <v>0</v>
      </c>
      <c r="BQ369" s="59">
        <f t="shared" si="1721"/>
        <v>0</v>
      </c>
      <c r="BR369" s="59">
        <f t="shared" si="1721"/>
        <v>0</v>
      </c>
      <c r="BS369" s="59">
        <f t="shared" si="1721"/>
        <v>0</v>
      </c>
      <c r="BT369" s="59">
        <f t="shared" si="1721"/>
        <v>0</v>
      </c>
      <c r="BU369" s="59">
        <f t="shared" si="1721"/>
        <v>0</v>
      </c>
      <c r="BV369" s="59">
        <f t="shared" si="1721"/>
        <v>0</v>
      </c>
      <c r="BW369" s="59">
        <f t="shared" si="1721"/>
        <v>0</v>
      </c>
      <c r="BX369" s="1"/>
      <c r="BY369" s="1"/>
      <c r="BZ369" s="1"/>
      <c r="CA369" s="1"/>
      <c r="CB369" s="1"/>
      <c r="CC369" s="1"/>
      <c r="CD369" s="1"/>
      <c r="CE369" s="1"/>
      <c r="CF369" s="1"/>
      <c r="CG369" s="1"/>
    </row>
    <row r="370" spans="1:85" ht="15.75" customHeight="1">
      <c r="A370" s="89" t="s">
        <v>671</v>
      </c>
      <c r="B370" s="161"/>
      <c r="C370" s="91" t="s">
        <v>418</v>
      </c>
      <c r="D370" s="143" t="s">
        <v>672</v>
      </c>
      <c r="E370" s="70"/>
      <c r="F370" s="71"/>
      <c r="G370" s="71">
        <f>E370-F370</f>
        <v>0</v>
      </c>
      <c r="H370" s="197">
        <v>10000</v>
      </c>
      <c r="I370" s="72">
        <f t="shared" si="1514"/>
        <v>0</v>
      </c>
      <c r="J370" s="72">
        <f t="shared" si="1515"/>
        <v>0</v>
      </c>
      <c r="K370" s="88"/>
      <c r="L370" s="74"/>
      <c r="M370" s="81"/>
      <c r="N370" s="73">
        <v>24200</v>
      </c>
      <c r="O370" s="77">
        <f t="shared" ref="O370:Q370" si="1722">AA370+AD370+AG370+AJ370+AM370+AP370+AS370+AV370+AY370+BB370+BE370+BH370</f>
        <v>0</v>
      </c>
      <c r="P370" s="77">
        <f t="shared" si="1722"/>
        <v>0</v>
      </c>
      <c r="Q370" s="77">
        <f t="shared" si="1722"/>
        <v>24200</v>
      </c>
      <c r="R370" s="77">
        <f t="shared" ref="R370:T370" si="1723">IF(BK370=0,SUM(AA370+AD370+AG370+AJ370+AM370+AP370+AS370+AV370+AY370+BB370+BE370+BH370),BK370)</f>
        <v>0</v>
      </c>
      <c r="S370" s="77">
        <f t="shared" si="1723"/>
        <v>0</v>
      </c>
      <c r="T370" s="77">
        <f t="shared" si="1723"/>
        <v>24200</v>
      </c>
      <c r="U370" s="79">
        <f>K370-O370</f>
        <v>0</v>
      </c>
      <c r="V370" s="79">
        <f>L370-M370-S370</f>
        <v>0</v>
      </c>
      <c r="W370" s="78">
        <f>N370-Q370</f>
        <v>0</v>
      </c>
      <c r="X370" s="80">
        <f t="shared" ref="X370:Y370" si="1724">IF(O370&gt;0,O370/K370,0)</f>
        <v>0</v>
      </c>
      <c r="Y370" s="80">
        <f t="shared" si="1724"/>
        <v>0</v>
      </c>
      <c r="Z370" s="80">
        <f t="shared" si="1518"/>
        <v>1</v>
      </c>
      <c r="AA370" s="81"/>
      <c r="AB370" s="81"/>
      <c r="AC370" s="81"/>
      <c r="AD370" s="81"/>
      <c r="AE370" s="83"/>
      <c r="AF370" s="83"/>
      <c r="AG370" s="83"/>
      <c r="AH370" s="83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>
        <f>24200</f>
        <v>24200</v>
      </c>
      <c r="BK370" s="82">
        <v>0</v>
      </c>
      <c r="BL370" s="82">
        <v>0</v>
      </c>
      <c r="BM370" s="82">
        <v>24200</v>
      </c>
      <c r="BN370" s="81">
        <f>IF(O370-BK370&gt;0,O370-BK370,0)</f>
        <v>0</v>
      </c>
      <c r="BO370" s="75">
        <f>IF(Q370-BM370&gt;0,Q370-BM370,0)</f>
        <v>0</v>
      </c>
      <c r="BP370" s="81">
        <f>IF(BN370+BO370&gt;0,BN370+BO370,0)</f>
        <v>0</v>
      </c>
      <c r="BQ370" s="81">
        <f>IF(U370=0,0,U370)</f>
        <v>0</v>
      </c>
      <c r="BR370" s="81">
        <f>IF(W370=0,0,W370)</f>
        <v>0</v>
      </c>
      <c r="BS370" s="81">
        <f>IF(BQ370+BR370&gt;0,BQ370+BR370,0)</f>
        <v>0</v>
      </c>
      <c r="BT370" s="81">
        <f>IF(V370&gt;0,V370,0)</f>
        <v>0</v>
      </c>
      <c r="BU370" s="81">
        <f>IF(BP370=0,0,BP370)</f>
        <v>0</v>
      </c>
      <c r="BV370" s="81">
        <f>IF(BS370=0,0,BS370)</f>
        <v>0</v>
      </c>
      <c r="BW370" s="81">
        <f>IF(BP370+BT370+BV370&gt;0,BP370+BT370+BV370,0)</f>
        <v>0</v>
      </c>
      <c r="BX370" s="1"/>
      <c r="BY370" s="1"/>
      <c r="BZ370" s="1"/>
      <c r="CA370" s="1"/>
      <c r="CB370" s="1"/>
      <c r="CC370" s="1"/>
      <c r="CD370" s="1"/>
      <c r="CE370" s="1"/>
      <c r="CF370" s="1"/>
      <c r="CG370" s="1"/>
    </row>
    <row r="371" spans="1:85" ht="15.75" customHeight="1">
      <c r="A371" s="326"/>
      <c r="B371" s="354"/>
      <c r="C371" s="328"/>
      <c r="D371" s="329" t="s">
        <v>673</v>
      </c>
      <c r="E371" s="330">
        <f t="shared" ref="E371:H371" si="1725">E372+E374+E394+E407+E416+E418+E420</f>
        <v>80000</v>
      </c>
      <c r="F371" s="344">
        <f t="shared" si="1725"/>
        <v>0</v>
      </c>
      <c r="G371" s="344">
        <f t="shared" si="1725"/>
        <v>80000</v>
      </c>
      <c r="H371" s="344">
        <f t="shared" si="1725"/>
        <v>2749944.87</v>
      </c>
      <c r="I371" s="331">
        <f t="shared" si="1514"/>
        <v>0</v>
      </c>
      <c r="J371" s="331">
        <f t="shared" si="1515"/>
        <v>0</v>
      </c>
      <c r="K371" s="344">
        <f t="shared" ref="K371:W371" si="1726">K372+K374+K394+K407+K416+K418+K420</f>
        <v>0</v>
      </c>
      <c r="L371" s="344">
        <f t="shared" si="1726"/>
        <v>1407020.06</v>
      </c>
      <c r="M371" s="344">
        <f t="shared" si="1726"/>
        <v>55729.14</v>
      </c>
      <c r="N371" s="344">
        <f t="shared" si="1726"/>
        <v>1959878.9900000002</v>
      </c>
      <c r="O371" s="344">
        <f t="shared" si="1726"/>
        <v>0</v>
      </c>
      <c r="P371" s="344">
        <f t="shared" si="1726"/>
        <v>1342624.9</v>
      </c>
      <c r="Q371" s="344">
        <f t="shared" si="1726"/>
        <v>1734620.2200000002</v>
      </c>
      <c r="R371" s="344">
        <f t="shared" si="1726"/>
        <v>0</v>
      </c>
      <c r="S371" s="344">
        <f t="shared" si="1726"/>
        <v>1342624.9000000001</v>
      </c>
      <c r="T371" s="344">
        <f t="shared" si="1726"/>
        <v>1675675.0000010002</v>
      </c>
      <c r="U371" s="344">
        <f t="shared" si="1726"/>
        <v>0</v>
      </c>
      <c r="V371" s="344">
        <f t="shared" si="1726"/>
        <v>8666.0199999999986</v>
      </c>
      <c r="W371" s="344">
        <f t="shared" si="1726"/>
        <v>225258.77</v>
      </c>
      <c r="X371" s="332">
        <f t="shared" ref="X371:Y371" si="1727">IF(O371&gt;0,O371/K371,0)</f>
        <v>0</v>
      </c>
      <c r="Y371" s="332">
        <f t="shared" si="1727"/>
        <v>0.95423294817843596</v>
      </c>
      <c r="Z371" s="332">
        <f t="shared" si="1518"/>
        <v>0.88506496005653901</v>
      </c>
      <c r="AA371" s="344">
        <f t="shared" ref="AA371:BW371" si="1728">AA372+AA374+AA394+AA407+AA416+AA418+AA420</f>
        <v>0</v>
      </c>
      <c r="AB371" s="344">
        <f t="shared" si="1728"/>
        <v>49035.380000000005</v>
      </c>
      <c r="AC371" s="344">
        <f t="shared" si="1728"/>
        <v>0</v>
      </c>
      <c r="AD371" s="344">
        <f t="shared" si="1728"/>
        <v>0</v>
      </c>
      <c r="AE371" s="344">
        <f t="shared" si="1728"/>
        <v>196039.93</v>
      </c>
      <c r="AF371" s="344">
        <f t="shared" si="1728"/>
        <v>405.27</v>
      </c>
      <c r="AG371" s="344">
        <f t="shared" si="1728"/>
        <v>0</v>
      </c>
      <c r="AH371" s="344">
        <f t="shared" si="1728"/>
        <v>166010.47999999998</v>
      </c>
      <c r="AI371" s="344">
        <f t="shared" si="1728"/>
        <v>100357.36</v>
      </c>
      <c r="AJ371" s="344">
        <f t="shared" si="1728"/>
        <v>0</v>
      </c>
      <c r="AK371" s="344">
        <f t="shared" si="1728"/>
        <v>142919.96000000002</v>
      </c>
      <c r="AL371" s="344">
        <f t="shared" si="1728"/>
        <v>178052.2</v>
      </c>
      <c r="AM371" s="344">
        <f t="shared" si="1728"/>
        <v>0</v>
      </c>
      <c r="AN371" s="344">
        <f t="shared" si="1728"/>
        <v>102026.95999999999</v>
      </c>
      <c r="AO371" s="344">
        <f t="shared" si="1728"/>
        <v>192279.95</v>
      </c>
      <c r="AP371" s="344">
        <f t="shared" si="1728"/>
        <v>0</v>
      </c>
      <c r="AQ371" s="344">
        <f t="shared" si="1728"/>
        <v>172131.81</v>
      </c>
      <c r="AR371" s="344">
        <f t="shared" si="1728"/>
        <v>187421.59000000003</v>
      </c>
      <c r="AS371" s="344">
        <f t="shared" si="1728"/>
        <v>0</v>
      </c>
      <c r="AT371" s="344">
        <f t="shared" si="1728"/>
        <v>38200.300000000003</v>
      </c>
      <c r="AU371" s="344">
        <f t="shared" si="1728"/>
        <v>203978.57</v>
      </c>
      <c r="AV371" s="344">
        <f t="shared" si="1728"/>
        <v>0</v>
      </c>
      <c r="AW371" s="344">
        <f t="shared" si="1728"/>
        <v>135983.08000000002</v>
      </c>
      <c r="AX371" s="344">
        <f t="shared" si="1728"/>
        <v>218353.91999999998</v>
      </c>
      <c r="AY371" s="344">
        <f t="shared" si="1728"/>
        <v>0</v>
      </c>
      <c r="AZ371" s="344">
        <f t="shared" si="1728"/>
        <v>81529.03</v>
      </c>
      <c r="BA371" s="344">
        <f t="shared" si="1728"/>
        <v>-46134.320000000014</v>
      </c>
      <c r="BB371" s="344">
        <f t="shared" si="1728"/>
        <v>0</v>
      </c>
      <c r="BC371" s="344">
        <f t="shared" si="1728"/>
        <v>5566.5</v>
      </c>
      <c r="BD371" s="344">
        <f t="shared" si="1728"/>
        <v>183889.22</v>
      </c>
      <c r="BE371" s="344">
        <f t="shared" si="1728"/>
        <v>0</v>
      </c>
      <c r="BF371" s="344">
        <f t="shared" si="1728"/>
        <v>11125.59</v>
      </c>
      <c r="BG371" s="344">
        <f t="shared" si="1728"/>
        <v>228583.40000000002</v>
      </c>
      <c r="BH371" s="344">
        <f t="shared" si="1728"/>
        <v>0</v>
      </c>
      <c r="BI371" s="344">
        <f t="shared" si="1728"/>
        <v>242055.88</v>
      </c>
      <c r="BJ371" s="344">
        <f t="shared" si="1728"/>
        <v>287433.06</v>
      </c>
      <c r="BK371" s="344">
        <f t="shared" si="1728"/>
        <v>0</v>
      </c>
      <c r="BL371" s="344">
        <f t="shared" si="1728"/>
        <v>1342624.9000000001</v>
      </c>
      <c r="BM371" s="344">
        <f t="shared" si="1728"/>
        <v>1675675.0000010002</v>
      </c>
      <c r="BN371" s="344">
        <f t="shared" si="1728"/>
        <v>0</v>
      </c>
      <c r="BO371" s="344">
        <f t="shared" si="1728"/>
        <v>58945.219999000125</v>
      </c>
      <c r="BP371" s="344">
        <f t="shared" si="1728"/>
        <v>58945.219999000125</v>
      </c>
      <c r="BQ371" s="344">
        <f t="shared" si="1728"/>
        <v>0</v>
      </c>
      <c r="BR371" s="344">
        <f t="shared" si="1728"/>
        <v>225258.77</v>
      </c>
      <c r="BS371" s="344">
        <f t="shared" si="1728"/>
        <v>225258.77</v>
      </c>
      <c r="BT371" s="344">
        <f t="shared" si="1728"/>
        <v>8666.0199999999986</v>
      </c>
      <c r="BU371" s="344">
        <f t="shared" si="1728"/>
        <v>58945.219999000125</v>
      </c>
      <c r="BV371" s="344">
        <f t="shared" si="1728"/>
        <v>225258.77</v>
      </c>
      <c r="BW371" s="344">
        <f t="shared" si="1728"/>
        <v>292870.009999</v>
      </c>
      <c r="BX371" s="1"/>
      <c r="BY371" s="1"/>
      <c r="BZ371" s="1"/>
      <c r="CA371" s="1"/>
      <c r="CB371" s="1"/>
      <c r="CC371" s="1"/>
      <c r="CD371" s="1"/>
      <c r="CE371" s="1"/>
      <c r="CF371" s="1"/>
      <c r="CG371" s="1"/>
    </row>
    <row r="372" spans="1:85" ht="15.75" customHeight="1">
      <c r="A372" s="355"/>
      <c r="B372" s="356"/>
      <c r="C372" s="357"/>
      <c r="D372" s="57" t="s">
        <v>632</v>
      </c>
      <c r="E372" s="58">
        <f t="shared" ref="E372:H372" si="1729">E373</f>
        <v>0</v>
      </c>
      <c r="F372" s="59">
        <f t="shared" si="1729"/>
        <v>0</v>
      </c>
      <c r="G372" s="59">
        <f t="shared" si="1729"/>
        <v>0</v>
      </c>
      <c r="H372" s="59">
        <f t="shared" si="1729"/>
        <v>0</v>
      </c>
      <c r="I372" s="60">
        <f t="shared" si="1514"/>
        <v>0</v>
      </c>
      <c r="J372" s="60">
        <f t="shared" si="1515"/>
        <v>0</v>
      </c>
      <c r="K372" s="59">
        <f t="shared" ref="K372:W372" si="1730">K373</f>
        <v>0</v>
      </c>
      <c r="L372" s="59">
        <f t="shared" si="1730"/>
        <v>0</v>
      </c>
      <c r="M372" s="59">
        <f t="shared" si="1730"/>
        <v>0</v>
      </c>
      <c r="N372" s="59">
        <f t="shared" si="1730"/>
        <v>2680</v>
      </c>
      <c r="O372" s="59">
        <f t="shared" si="1730"/>
        <v>0</v>
      </c>
      <c r="P372" s="59">
        <f t="shared" si="1730"/>
        <v>0</v>
      </c>
      <c r="Q372" s="59">
        <f t="shared" si="1730"/>
        <v>2680</v>
      </c>
      <c r="R372" s="59">
        <f t="shared" si="1730"/>
        <v>0</v>
      </c>
      <c r="S372" s="59">
        <f t="shared" si="1730"/>
        <v>0</v>
      </c>
      <c r="T372" s="59">
        <f t="shared" si="1730"/>
        <v>2680</v>
      </c>
      <c r="U372" s="59">
        <f t="shared" si="1730"/>
        <v>0</v>
      </c>
      <c r="V372" s="59">
        <f t="shared" si="1730"/>
        <v>0</v>
      </c>
      <c r="W372" s="59">
        <f t="shared" si="1730"/>
        <v>0</v>
      </c>
      <c r="X372" s="63">
        <f t="shared" ref="X372:Y372" si="1731">IF(O372&gt;0,O372/K372,0)</f>
        <v>0</v>
      </c>
      <c r="Y372" s="63">
        <f t="shared" si="1731"/>
        <v>0</v>
      </c>
      <c r="Z372" s="63">
        <f t="shared" si="1518"/>
        <v>1</v>
      </c>
      <c r="AA372" s="59">
        <f t="shared" ref="AA372:BW372" si="1732">AA373</f>
        <v>0</v>
      </c>
      <c r="AB372" s="59">
        <f t="shared" si="1732"/>
        <v>0</v>
      </c>
      <c r="AC372" s="59">
        <f t="shared" si="1732"/>
        <v>0</v>
      </c>
      <c r="AD372" s="59">
        <f t="shared" si="1732"/>
        <v>0</v>
      </c>
      <c r="AE372" s="59">
        <f t="shared" si="1732"/>
        <v>0</v>
      </c>
      <c r="AF372" s="59">
        <f t="shared" si="1732"/>
        <v>0</v>
      </c>
      <c r="AG372" s="59">
        <f t="shared" si="1732"/>
        <v>0</v>
      </c>
      <c r="AH372" s="59">
        <f t="shared" si="1732"/>
        <v>0</v>
      </c>
      <c r="AI372" s="59">
        <f t="shared" si="1732"/>
        <v>0</v>
      </c>
      <c r="AJ372" s="59">
        <f t="shared" si="1732"/>
        <v>0</v>
      </c>
      <c r="AK372" s="59">
        <f t="shared" si="1732"/>
        <v>0</v>
      </c>
      <c r="AL372" s="59">
        <f t="shared" si="1732"/>
        <v>0</v>
      </c>
      <c r="AM372" s="59">
        <f t="shared" si="1732"/>
        <v>0</v>
      </c>
      <c r="AN372" s="59">
        <f t="shared" si="1732"/>
        <v>0</v>
      </c>
      <c r="AO372" s="59">
        <f t="shared" si="1732"/>
        <v>0</v>
      </c>
      <c r="AP372" s="59">
        <f t="shared" si="1732"/>
        <v>0</v>
      </c>
      <c r="AQ372" s="59">
        <f t="shared" si="1732"/>
        <v>0</v>
      </c>
      <c r="AR372" s="59">
        <f t="shared" si="1732"/>
        <v>0</v>
      </c>
      <c r="AS372" s="59">
        <f t="shared" si="1732"/>
        <v>0</v>
      </c>
      <c r="AT372" s="59">
        <f t="shared" si="1732"/>
        <v>0</v>
      </c>
      <c r="AU372" s="59">
        <f t="shared" si="1732"/>
        <v>0</v>
      </c>
      <c r="AV372" s="59">
        <f t="shared" si="1732"/>
        <v>0</v>
      </c>
      <c r="AW372" s="59">
        <f t="shared" si="1732"/>
        <v>0</v>
      </c>
      <c r="AX372" s="59">
        <f t="shared" si="1732"/>
        <v>0</v>
      </c>
      <c r="AY372" s="59">
        <f t="shared" si="1732"/>
        <v>0</v>
      </c>
      <c r="AZ372" s="59">
        <f t="shared" si="1732"/>
        <v>0</v>
      </c>
      <c r="BA372" s="59">
        <f t="shared" si="1732"/>
        <v>0</v>
      </c>
      <c r="BB372" s="59">
        <f t="shared" si="1732"/>
        <v>0</v>
      </c>
      <c r="BC372" s="59">
        <f t="shared" si="1732"/>
        <v>0</v>
      </c>
      <c r="BD372" s="59">
        <f t="shared" si="1732"/>
        <v>0</v>
      </c>
      <c r="BE372" s="59">
        <f t="shared" si="1732"/>
        <v>0</v>
      </c>
      <c r="BF372" s="59">
        <f t="shared" si="1732"/>
        <v>0</v>
      </c>
      <c r="BG372" s="59">
        <f t="shared" si="1732"/>
        <v>0</v>
      </c>
      <c r="BH372" s="59">
        <f t="shared" si="1732"/>
        <v>0</v>
      </c>
      <c r="BI372" s="59">
        <f t="shared" si="1732"/>
        <v>0</v>
      </c>
      <c r="BJ372" s="59">
        <f t="shared" si="1732"/>
        <v>2680</v>
      </c>
      <c r="BK372" s="59">
        <f t="shared" si="1732"/>
        <v>0</v>
      </c>
      <c r="BL372" s="59">
        <f t="shared" si="1732"/>
        <v>0</v>
      </c>
      <c r="BM372" s="59">
        <f t="shared" si="1732"/>
        <v>2680</v>
      </c>
      <c r="BN372" s="59">
        <f t="shared" si="1732"/>
        <v>0</v>
      </c>
      <c r="BO372" s="59">
        <f t="shared" si="1732"/>
        <v>0</v>
      </c>
      <c r="BP372" s="59">
        <f t="shared" si="1732"/>
        <v>0</v>
      </c>
      <c r="BQ372" s="59">
        <f t="shared" si="1732"/>
        <v>0</v>
      </c>
      <c r="BR372" s="59">
        <f t="shared" si="1732"/>
        <v>0</v>
      </c>
      <c r="BS372" s="59">
        <f t="shared" si="1732"/>
        <v>0</v>
      </c>
      <c r="BT372" s="59">
        <f t="shared" si="1732"/>
        <v>0</v>
      </c>
      <c r="BU372" s="59">
        <f t="shared" si="1732"/>
        <v>0</v>
      </c>
      <c r="BV372" s="59">
        <f t="shared" si="1732"/>
        <v>0</v>
      </c>
      <c r="BW372" s="59">
        <f t="shared" si="1732"/>
        <v>0</v>
      </c>
      <c r="BX372" s="1"/>
      <c r="BY372" s="1"/>
      <c r="BZ372" s="1"/>
      <c r="CA372" s="1"/>
      <c r="CB372" s="1"/>
      <c r="CC372" s="1"/>
      <c r="CD372" s="1"/>
      <c r="CE372" s="1"/>
      <c r="CF372" s="1"/>
      <c r="CG372" s="1"/>
    </row>
    <row r="373" spans="1:85" ht="15.75" customHeight="1">
      <c r="A373" s="125" t="s">
        <v>674</v>
      </c>
      <c r="B373" s="85"/>
      <c r="C373" s="86" t="s">
        <v>574</v>
      </c>
      <c r="D373" s="345" t="s">
        <v>659</v>
      </c>
      <c r="E373" s="70"/>
      <c r="F373" s="71"/>
      <c r="G373" s="71"/>
      <c r="H373" s="70"/>
      <c r="I373" s="72"/>
      <c r="J373" s="72"/>
      <c r="K373" s="107"/>
      <c r="L373" s="81"/>
      <c r="M373" s="82"/>
      <c r="N373" s="73">
        <f>2680</f>
        <v>2680</v>
      </c>
      <c r="O373" s="77">
        <f t="shared" ref="O373:Q373" si="1733">AA373+AD373+AG373+AJ373+AM373+AP373+AS373+AV373+AY373+BB373+BE373+BH373</f>
        <v>0</v>
      </c>
      <c r="P373" s="77">
        <f t="shared" si="1733"/>
        <v>0</v>
      </c>
      <c r="Q373" s="77">
        <f t="shared" si="1733"/>
        <v>2680</v>
      </c>
      <c r="R373" s="77">
        <f t="shared" ref="R373:T373" si="1734">IF(BK373=0,SUM(AA373+AD373+AG373+AJ373+AM373+AP373+AS373+AV373+AY373+BB373+BE373+BH373),BK373)</f>
        <v>0</v>
      </c>
      <c r="S373" s="77">
        <f t="shared" si="1734"/>
        <v>0</v>
      </c>
      <c r="T373" s="77">
        <f t="shared" si="1734"/>
        <v>2680</v>
      </c>
      <c r="U373" s="79">
        <f>K373-O373</f>
        <v>0</v>
      </c>
      <c r="V373" s="79">
        <f>L373-M373-S373</f>
        <v>0</v>
      </c>
      <c r="W373" s="79">
        <f>N373-Q373</f>
        <v>0</v>
      </c>
      <c r="X373" s="80">
        <f t="shared" ref="X373:Y373" si="1735">IF(O373&gt;0,O373/K373,0)</f>
        <v>0</v>
      </c>
      <c r="Y373" s="80">
        <f t="shared" si="1735"/>
        <v>0</v>
      </c>
      <c r="Z373" s="80">
        <f t="shared" si="1518"/>
        <v>1</v>
      </c>
      <c r="AA373" s="81"/>
      <c r="AB373" s="81"/>
      <c r="AC373" s="81"/>
      <c r="AD373" s="81"/>
      <c r="AE373" s="83"/>
      <c r="AF373" s="83"/>
      <c r="AG373" s="83"/>
      <c r="AH373" s="128"/>
      <c r="AI373" s="81"/>
      <c r="AJ373" s="81"/>
      <c r="AK373" s="81"/>
      <c r="AL373" s="81"/>
      <c r="AM373" s="81"/>
      <c r="AN373" s="81"/>
      <c r="AO373" s="81"/>
      <c r="AP373" s="81"/>
      <c r="AQ373" s="82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2">
        <v>2680</v>
      </c>
      <c r="BK373" s="82">
        <v>0</v>
      </c>
      <c r="BL373" s="82">
        <v>0</v>
      </c>
      <c r="BM373" s="82">
        <v>2680</v>
      </c>
      <c r="BN373" s="81">
        <f>IF(O373-BK373&gt;0,O373-BK373,0)</f>
        <v>0</v>
      </c>
      <c r="BO373" s="75">
        <f>IF(Q373-BM373&gt;0,Q373-BM373,0)</f>
        <v>0</v>
      </c>
      <c r="BP373" s="81">
        <f>IF(BN373+BO373&gt;0,BN373+BO373,0)</f>
        <v>0</v>
      </c>
      <c r="BQ373" s="81">
        <f>IF(U373=0,0,U373)</f>
        <v>0</v>
      </c>
      <c r="BR373" s="81">
        <f>IF(W373=0,0,W373)</f>
        <v>0</v>
      </c>
      <c r="BS373" s="81">
        <f>IF(BQ373+BR373&gt;0,BQ373+BR373,0)</f>
        <v>0</v>
      </c>
      <c r="BT373" s="81">
        <f>IF(V373&gt;0,V373,0)</f>
        <v>0</v>
      </c>
      <c r="BU373" s="81">
        <f>IF(BP373=0,0,BP373)</f>
        <v>0</v>
      </c>
      <c r="BV373" s="81">
        <f>IF(BS373=0,0,BS373)</f>
        <v>0</v>
      </c>
      <c r="BW373" s="81">
        <f>IF(BP373+BT373+BV373&gt;0,BP373+BT373+BV373,0)</f>
        <v>0</v>
      </c>
      <c r="BX373" s="1"/>
      <c r="BY373" s="1"/>
      <c r="BZ373" s="1"/>
      <c r="CA373" s="1"/>
      <c r="CB373" s="1"/>
      <c r="CC373" s="1"/>
      <c r="CD373" s="1"/>
      <c r="CE373" s="1"/>
      <c r="CF373" s="1"/>
      <c r="CG373" s="1"/>
    </row>
    <row r="374" spans="1:85" ht="15.75">
      <c r="A374" s="109"/>
      <c r="B374" s="110"/>
      <c r="C374" s="111"/>
      <c r="D374" s="112" t="s">
        <v>128</v>
      </c>
      <c r="E374" s="58">
        <f t="shared" ref="E374:H374" si="1736">SUM(E375:E393)</f>
        <v>0</v>
      </c>
      <c r="F374" s="58">
        <f t="shared" si="1736"/>
        <v>0</v>
      </c>
      <c r="G374" s="58">
        <f t="shared" si="1736"/>
        <v>0</v>
      </c>
      <c r="H374" s="58">
        <f t="shared" si="1736"/>
        <v>350000</v>
      </c>
      <c r="I374" s="60">
        <f t="shared" ref="I374:I510" si="1737">IF(G374&gt;0,K374/G374,0)</f>
        <v>0</v>
      </c>
      <c r="J374" s="60">
        <f t="shared" ref="J374:J510" si="1738">IF(G374&gt;0,O374/G374,0)</f>
        <v>0</v>
      </c>
      <c r="K374" s="58">
        <f t="shared" ref="K374:W374" si="1739">SUM(K375:K393)</f>
        <v>0</v>
      </c>
      <c r="L374" s="58">
        <f t="shared" si="1739"/>
        <v>704057.92</v>
      </c>
      <c r="M374" s="58">
        <f t="shared" si="1739"/>
        <v>19621.7</v>
      </c>
      <c r="N374" s="58">
        <f t="shared" si="1739"/>
        <v>392962.85</v>
      </c>
      <c r="O374" s="58">
        <f t="shared" si="1739"/>
        <v>0</v>
      </c>
      <c r="P374" s="58">
        <f t="shared" si="1739"/>
        <v>676626.87</v>
      </c>
      <c r="Q374" s="58">
        <f t="shared" si="1739"/>
        <v>199499.58</v>
      </c>
      <c r="R374" s="58">
        <f t="shared" si="1739"/>
        <v>0</v>
      </c>
      <c r="S374" s="58">
        <f t="shared" si="1739"/>
        <v>676626.87000000011</v>
      </c>
      <c r="T374" s="58">
        <f t="shared" si="1739"/>
        <v>199499.58</v>
      </c>
      <c r="U374" s="58">
        <f t="shared" si="1739"/>
        <v>0</v>
      </c>
      <c r="V374" s="58">
        <f t="shared" si="1739"/>
        <v>7809.3499999999985</v>
      </c>
      <c r="W374" s="58">
        <f t="shared" si="1739"/>
        <v>193463.27000000002</v>
      </c>
      <c r="X374" s="63">
        <f t="shared" ref="X374:Y374" si="1740">IF(O374&gt;0,O374/K374,0)</f>
        <v>0</v>
      </c>
      <c r="Y374" s="63">
        <f t="shared" si="1740"/>
        <v>0.96103864579777754</v>
      </c>
      <c r="Z374" s="63">
        <f t="shared" si="1518"/>
        <v>0.50768050974793166</v>
      </c>
      <c r="AA374" s="58">
        <f t="shared" ref="AA374:BW374" si="1741">SUM(AA375:AA393)</f>
        <v>0</v>
      </c>
      <c r="AB374" s="58">
        <f t="shared" si="1741"/>
        <v>0</v>
      </c>
      <c r="AC374" s="58">
        <f t="shared" si="1741"/>
        <v>0</v>
      </c>
      <c r="AD374" s="58">
        <f t="shared" si="1741"/>
        <v>0</v>
      </c>
      <c r="AE374" s="58">
        <f t="shared" si="1741"/>
        <v>39572.18</v>
      </c>
      <c r="AF374" s="58">
        <f t="shared" si="1741"/>
        <v>0</v>
      </c>
      <c r="AG374" s="58">
        <f t="shared" si="1741"/>
        <v>0</v>
      </c>
      <c r="AH374" s="58">
        <f t="shared" si="1741"/>
        <v>75798.789999999994</v>
      </c>
      <c r="AI374" s="58">
        <f t="shared" si="1741"/>
        <v>14077.8</v>
      </c>
      <c r="AJ374" s="58">
        <f t="shared" si="1741"/>
        <v>0</v>
      </c>
      <c r="AK374" s="58">
        <f t="shared" si="1741"/>
        <v>63943.130000000005</v>
      </c>
      <c r="AL374" s="58">
        <f t="shared" si="1741"/>
        <v>0</v>
      </c>
      <c r="AM374" s="58">
        <f t="shared" si="1741"/>
        <v>0</v>
      </c>
      <c r="AN374" s="58">
        <f t="shared" si="1741"/>
        <v>91054.989999999991</v>
      </c>
      <c r="AO374" s="58">
        <f t="shared" si="1741"/>
        <v>19372.2</v>
      </c>
      <c r="AP374" s="58">
        <f t="shared" si="1741"/>
        <v>0</v>
      </c>
      <c r="AQ374" s="58">
        <f t="shared" si="1741"/>
        <v>133375.91999999998</v>
      </c>
      <c r="AR374" s="58">
        <f t="shared" si="1741"/>
        <v>5542.68</v>
      </c>
      <c r="AS374" s="58">
        <f t="shared" si="1741"/>
        <v>0</v>
      </c>
      <c r="AT374" s="58">
        <f t="shared" si="1741"/>
        <v>38200.300000000003</v>
      </c>
      <c r="AU374" s="58">
        <f t="shared" si="1741"/>
        <v>0</v>
      </c>
      <c r="AV374" s="58">
        <f t="shared" si="1741"/>
        <v>0</v>
      </c>
      <c r="AW374" s="58">
        <f t="shared" si="1741"/>
        <v>135983.08000000002</v>
      </c>
      <c r="AX374" s="58">
        <f t="shared" si="1741"/>
        <v>58999.5</v>
      </c>
      <c r="AY374" s="58">
        <f t="shared" si="1741"/>
        <v>0</v>
      </c>
      <c r="AZ374" s="58">
        <f t="shared" si="1741"/>
        <v>12134.1</v>
      </c>
      <c r="BA374" s="58">
        <f t="shared" si="1741"/>
        <v>13992</v>
      </c>
      <c r="BB374" s="58">
        <f t="shared" si="1741"/>
        <v>0</v>
      </c>
      <c r="BC374" s="58">
        <f t="shared" si="1741"/>
        <v>5566.5</v>
      </c>
      <c r="BD374" s="58">
        <f t="shared" si="1741"/>
        <v>30460</v>
      </c>
      <c r="BE374" s="58">
        <f t="shared" si="1741"/>
        <v>0</v>
      </c>
      <c r="BF374" s="58">
        <f t="shared" si="1741"/>
        <v>11125.59</v>
      </c>
      <c r="BG374" s="58">
        <f t="shared" si="1741"/>
        <v>47843.6</v>
      </c>
      <c r="BH374" s="58">
        <f t="shared" si="1741"/>
        <v>0</v>
      </c>
      <c r="BI374" s="58">
        <f t="shared" si="1741"/>
        <v>69872.290000000008</v>
      </c>
      <c r="BJ374" s="58">
        <f t="shared" si="1741"/>
        <v>9211.7999999999993</v>
      </c>
      <c r="BK374" s="58">
        <f t="shared" si="1741"/>
        <v>0</v>
      </c>
      <c r="BL374" s="58">
        <f t="shared" si="1741"/>
        <v>676626.87000000011</v>
      </c>
      <c r="BM374" s="58">
        <f t="shared" si="1741"/>
        <v>199499.58</v>
      </c>
      <c r="BN374" s="58">
        <f t="shared" si="1741"/>
        <v>0</v>
      </c>
      <c r="BO374" s="58">
        <f t="shared" si="1741"/>
        <v>0</v>
      </c>
      <c r="BP374" s="58">
        <f t="shared" si="1741"/>
        <v>0</v>
      </c>
      <c r="BQ374" s="58">
        <f t="shared" si="1741"/>
        <v>0</v>
      </c>
      <c r="BR374" s="58">
        <f t="shared" si="1741"/>
        <v>193463.27000000002</v>
      </c>
      <c r="BS374" s="58">
        <f t="shared" si="1741"/>
        <v>193463.27000000002</v>
      </c>
      <c r="BT374" s="58">
        <f t="shared" si="1741"/>
        <v>7809.3499999999985</v>
      </c>
      <c r="BU374" s="58">
        <f t="shared" si="1741"/>
        <v>0</v>
      </c>
      <c r="BV374" s="58">
        <f t="shared" si="1741"/>
        <v>193463.27000000002</v>
      </c>
      <c r="BW374" s="58">
        <f t="shared" si="1741"/>
        <v>201272.62</v>
      </c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</row>
    <row r="375" spans="1:85" ht="15.75" customHeight="1">
      <c r="A375" s="125" t="s">
        <v>675</v>
      </c>
      <c r="B375" s="115" t="s">
        <v>676</v>
      </c>
      <c r="C375" s="86" t="s">
        <v>131</v>
      </c>
      <c r="D375" s="87" t="s">
        <v>677</v>
      </c>
      <c r="E375" s="70"/>
      <c r="F375" s="71"/>
      <c r="G375" s="71">
        <f t="shared" ref="G375:G393" si="1742">E375-F375</f>
        <v>0</v>
      </c>
      <c r="H375" s="197">
        <v>100000</v>
      </c>
      <c r="I375" s="72">
        <f t="shared" si="1737"/>
        <v>0</v>
      </c>
      <c r="J375" s="72">
        <f t="shared" si="1738"/>
        <v>0</v>
      </c>
      <c r="K375" s="107"/>
      <c r="L375" s="81">
        <v>25519.200000000001</v>
      </c>
      <c r="M375" s="82">
        <v>5671.32</v>
      </c>
      <c r="N375" s="73">
        <v>5542.68</v>
      </c>
      <c r="O375" s="77">
        <f t="shared" ref="O375:Q375" si="1743">AA375+AD375+AG375+AJ375+AM375+AP375+AS375+AV375+AY375+BB375+BE375+BH375</f>
        <v>0</v>
      </c>
      <c r="P375" s="77">
        <f t="shared" si="1743"/>
        <v>19847.88</v>
      </c>
      <c r="Q375" s="77">
        <f t="shared" si="1743"/>
        <v>5542.68</v>
      </c>
      <c r="R375" s="77">
        <f t="shared" ref="R375:T375" si="1744">IF(BK375=0,SUM(AA375+AD375+AG375+AJ375+AM375+AP375+AS375+AV375+AY375+BB375+BE375+BH375),BK375)</f>
        <v>0</v>
      </c>
      <c r="S375" s="77">
        <f t="shared" si="1744"/>
        <v>19847.88</v>
      </c>
      <c r="T375" s="77">
        <f t="shared" si="1744"/>
        <v>5542.68</v>
      </c>
      <c r="U375" s="79">
        <f t="shared" ref="U375:U393" si="1745">K375-O375</f>
        <v>0</v>
      </c>
      <c r="V375" s="79">
        <f t="shared" ref="V375:V393" si="1746">L375-M375-S375</f>
        <v>0</v>
      </c>
      <c r="W375" s="79">
        <f t="shared" ref="W375:W393" si="1747">N375-Q375</f>
        <v>0</v>
      </c>
      <c r="X375" s="80">
        <f t="shared" ref="X375:Y375" si="1748">IF(O375&gt;0,O375/K375,0)</f>
        <v>0</v>
      </c>
      <c r="Y375" s="80">
        <f t="shared" si="1748"/>
        <v>0.77776262578764221</v>
      </c>
      <c r="Z375" s="80">
        <f t="shared" si="1518"/>
        <v>1</v>
      </c>
      <c r="AA375" s="81"/>
      <c r="AB375" s="81"/>
      <c r="AC375" s="81"/>
      <c r="AD375" s="81"/>
      <c r="AE375" s="83"/>
      <c r="AF375" s="83"/>
      <c r="AG375" s="83"/>
      <c r="AH375" s="128">
        <v>3827.88</v>
      </c>
      <c r="AI375" s="81"/>
      <c r="AJ375" s="81"/>
      <c r="AK375" s="81"/>
      <c r="AL375" s="81"/>
      <c r="AM375" s="81"/>
      <c r="AN375" s="81">
        <f>4005+4005</f>
        <v>8010</v>
      </c>
      <c r="AO375" s="81"/>
      <c r="AP375" s="81"/>
      <c r="AQ375" s="82">
        <f>4005+4005</f>
        <v>8010</v>
      </c>
      <c r="AR375" s="81">
        <f>736.68+4806</f>
        <v>5542.68</v>
      </c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2">
        <v>0</v>
      </c>
      <c r="BL375" s="82">
        <v>19847.88</v>
      </c>
      <c r="BM375" s="82">
        <v>5542.68</v>
      </c>
      <c r="BN375" s="81">
        <f t="shared" ref="BN375:BN393" si="1749">IF(O375-BK375&gt;0,O375-BK375,0)</f>
        <v>0</v>
      </c>
      <c r="BO375" s="75">
        <f t="shared" ref="BO375:BO393" si="1750">IF(Q375-BM375&gt;0,Q375-BM375,0)</f>
        <v>0</v>
      </c>
      <c r="BP375" s="81">
        <f t="shared" ref="BP375:BP393" si="1751">IF(BN375+BO375&gt;0,BN375+BO375,0)</f>
        <v>0</v>
      </c>
      <c r="BQ375" s="81">
        <f t="shared" ref="BQ375:BQ393" si="1752">IF(U375=0,0,U375)</f>
        <v>0</v>
      </c>
      <c r="BR375" s="81">
        <f t="shared" ref="BR375:BR393" si="1753">IF(W375=0,0,W375)</f>
        <v>0</v>
      </c>
      <c r="BS375" s="81">
        <f t="shared" ref="BS375:BS393" si="1754">IF(BQ375+BR375&gt;0,BQ375+BR375,0)</f>
        <v>0</v>
      </c>
      <c r="BT375" s="81">
        <f t="shared" ref="BT375:BT393" si="1755">IF(V375&gt;0,V375,0)</f>
        <v>0</v>
      </c>
      <c r="BU375" s="81">
        <f t="shared" ref="BU375:BU393" si="1756">IF(BP375=0,0,BP375)</f>
        <v>0</v>
      </c>
      <c r="BV375" s="81">
        <f t="shared" ref="BV375:BV393" si="1757">IF(BS375=0,0,BS375)</f>
        <v>0</v>
      </c>
      <c r="BW375" s="81">
        <f t="shared" ref="BW375:BW393" si="1758">IF(BP375+BT375+BV375&gt;0,BP375+BT375+BV375,0)</f>
        <v>0</v>
      </c>
      <c r="BX375" s="1"/>
      <c r="BY375" s="1"/>
      <c r="BZ375" s="1"/>
      <c r="CA375" s="1"/>
      <c r="CB375" s="1"/>
      <c r="CC375" s="1"/>
      <c r="CD375" s="1"/>
      <c r="CE375" s="1"/>
      <c r="CF375" s="1"/>
      <c r="CG375" s="1"/>
    </row>
    <row r="376" spans="1:85" ht="15.75" customHeight="1">
      <c r="A376" s="125" t="s">
        <v>678</v>
      </c>
      <c r="B376" s="115"/>
      <c r="C376" s="86" t="s">
        <v>131</v>
      </c>
      <c r="D376" s="87" t="s">
        <v>677</v>
      </c>
      <c r="E376" s="70"/>
      <c r="F376" s="71"/>
      <c r="G376" s="71">
        <f t="shared" si="1742"/>
        <v>0</v>
      </c>
      <c r="H376" s="70"/>
      <c r="I376" s="72">
        <f t="shared" si="1737"/>
        <v>0</v>
      </c>
      <c r="J376" s="72">
        <f t="shared" si="1738"/>
        <v>0</v>
      </c>
      <c r="K376" s="215"/>
      <c r="L376" s="81"/>
      <c r="M376" s="81"/>
      <c r="N376" s="73">
        <v>2121.6</v>
      </c>
      <c r="O376" s="77">
        <f t="shared" ref="O376:Q376" si="1759">AA376+AD376+AG376+AJ376+AM376+AP376+AS376+AV376+AY376+BB376+BE376+BH376</f>
        <v>0</v>
      </c>
      <c r="P376" s="77">
        <f t="shared" si="1759"/>
        <v>0</v>
      </c>
      <c r="Q376" s="77">
        <f t="shared" si="1759"/>
        <v>2121.6</v>
      </c>
      <c r="R376" s="77">
        <f t="shared" ref="R376:T376" si="1760">IF(BK376=0,SUM(AA376+AD376+AG376+AJ376+AM376+AP376+AS376+AV376+AY376+BB376+BE376+BH376),BK376)</f>
        <v>0</v>
      </c>
      <c r="S376" s="77">
        <f t="shared" si="1760"/>
        <v>0</v>
      </c>
      <c r="T376" s="77">
        <f t="shared" si="1760"/>
        <v>2121.6</v>
      </c>
      <c r="U376" s="79">
        <f t="shared" si="1745"/>
        <v>0</v>
      </c>
      <c r="V376" s="79">
        <f t="shared" si="1746"/>
        <v>0</v>
      </c>
      <c r="W376" s="78">
        <f t="shared" si="1747"/>
        <v>0</v>
      </c>
      <c r="X376" s="80">
        <f t="shared" ref="X376:Y376" si="1761">IF(O376&gt;0,O376/K376,0)</f>
        <v>0</v>
      </c>
      <c r="Y376" s="80">
        <f t="shared" si="1761"/>
        <v>0</v>
      </c>
      <c r="Z376" s="80">
        <f t="shared" si="1518"/>
        <v>1</v>
      </c>
      <c r="AA376" s="81"/>
      <c r="AB376" s="81"/>
      <c r="AC376" s="81"/>
      <c r="AD376" s="81"/>
      <c r="AE376" s="83"/>
      <c r="AF376" s="83"/>
      <c r="AG376" s="83"/>
      <c r="AH376" s="83"/>
      <c r="AI376" s="82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>
        <f>2161.6-2161.6</f>
        <v>0</v>
      </c>
      <c r="BB376" s="81"/>
      <c r="BC376" s="81"/>
      <c r="BD376" s="81"/>
      <c r="BE376" s="81"/>
      <c r="BF376" s="81"/>
      <c r="BG376" s="82">
        <v>2121.6</v>
      </c>
      <c r="BH376" s="81"/>
      <c r="BI376" s="81"/>
      <c r="BJ376" s="81"/>
      <c r="BK376" s="82">
        <v>0</v>
      </c>
      <c r="BL376" s="82">
        <v>0</v>
      </c>
      <c r="BM376" s="82">
        <v>2121.6</v>
      </c>
      <c r="BN376" s="81">
        <f t="shared" si="1749"/>
        <v>0</v>
      </c>
      <c r="BO376" s="75">
        <f t="shared" si="1750"/>
        <v>0</v>
      </c>
      <c r="BP376" s="81">
        <f t="shared" si="1751"/>
        <v>0</v>
      </c>
      <c r="BQ376" s="81">
        <f t="shared" si="1752"/>
        <v>0</v>
      </c>
      <c r="BR376" s="81">
        <f t="shared" si="1753"/>
        <v>0</v>
      </c>
      <c r="BS376" s="81">
        <f t="shared" si="1754"/>
        <v>0</v>
      </c>
      <c r="BT376" s="81">
        <f t="shared" si="1755"/>
        <v>0</v>
      </c>
      <c r="BU376" s="81">
        <f t="shared" si="1756"/>
        <v>0</v>
      </c>
      <c r="BV376" s="81">
        <f t="shared" si="1757"/>
        <v>0</v>
      </c>
      <c r="BW376" s="81">
        <f t="shared" si="1758"/>
        <v>0</v>
      </c>
      <c r="BX376" s="1"/>
      <c r="BY376" s="1"/>
      <c r="BZ376" s="1"/>
      <c r="CA376" s="1"/>
      <c r="CB376" s="1"/>
      <c r="CC376" s="1"/>
      <c r="CD376" s="1"/>
      <c r="CE376" s="1"/>
      <c r="CF376" s="1"/>
      <c r="CG376" s="1"/>
    </row>
    <row r="377" spans="1:85" ht="15.75" customHeight="1">
      <c r="A377" s="125" t="s">
        <v>679</v>
      </c>
      <c r="B377" s="115"/>
      <c r="C377" s="86" t="s">
        <v>131</v>
      </c>
      <c r="D377" s="87" t="s">
        <v>677</v>
      </c>
      <c r="E377" s="70"/>
      <c r="F377" s="71"/>
      <c r="G377" s="71">
        <f t="shared" si="1742"/>
        <v>0</v>
      </c>
      <c r="H377" s="70"/>
      <c r="I377" s="72">
        <f t="shared" si="1737"/>
        <v>0</v>
      </c>
      <c r="J377" s="72">
        <f t="shared" si="1738"/>
        <v>0</v>
      </c>
      <c r="K377" s="215"/>
      <c r="L377" s="81"/>
      <c r="M377" s="81"/>
      <c r="N377" s="73">
        <v>12015</v>
      </c>
      <c r="O377" s="77">
        <f t="shared" ref="O377:Q377" si="1762">AA377+AD377+AG377+AJ377+AM377+AP377+AS377+AV377+AY377+BB377+BE377+BH377</f>
        <v>0</v>
      </c>
      <c r="P377" s="77">
        <f t="shared" si="1762"/>
        <v>0</v>
      </c>
      <c r="Q377" s="77">
        <f t="shared" si="1762"/>
        <v>12015</v>
      </c>
      <c r="R377" s="77">
        <f t="shared" ref="R377:T377" si="1763">IF(BK377=0,SUM(AA377+AD377+AG377+AJ377+AM377+AP377+AS377+AV377+AY377+BB377+BE377+BH377),BK377)</f>
        <v>0</v>
      </c>
      <c r="S377" s="77">
        <f t="shared" si="1763"/>
        <v>0</v>
      </c>
      <c r="T377" s="77">
        <f t="shared" si="1763"/>
        <v>12015</v>
      </c>
      <c r="U377" s="79">
        <f t="shared" si="1745"/>
        <v>0</v>
      </c>
      <c r="V377" s="79">
        <f t="shared" si="1746"/>
        <v>0</v>
      </c>
      <c r="W377" s="78">
        <f t="shared" si="1747"/>
        <v>0</v>
      </c>
      <c r="X377" s="80">
        <f t="shared" ref="X377:Y377" si="1764">IF(O377&gt;0,O377/K377,0)</f>
        <v>0</v>
      </c>
      <c r="Y377" s="80">
        <f t="shared" si="1764"/>
        <v>0</v>
      </c>
      <c r="Z377" s="80">
        <f t="shared" si="1518"/>
        <v>1</v>
      </c>
      <c r="AA377" s="81"/>
      <c r="AB377" s="81"/>
      <c r="AC377" s="81"/>
      <c r="AD377" s="81"/>
      <c r="AE377" s="83"/>
      <c r="AF377" s="83"/>
      <c r="AG377" s="83"/>
      <c r="AH377" s="83"/>
      <c r="AI377" s="82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>
        <f>4005</f>
        <v>4005</v>
      </c>
      <c r="BH377" s="81"/>
      <c r="BI377" s="81"/>
      <c r="BJ377" s="81">
        <f>8010</f>
        <v>8010</v>
      </c>
      <c r="BK377" s="82">
        <v>0</v>
      </c>
      <c r="BL377" s="82">
        <v>0</v>
      </c>
      <c r="BM377" s="82">
        <v>12015</v>
      </c>
      <c r="BN377" s="81">
        <f t="shared" si="1749"/>
        <v>0</v>
      </c>
      <c r="BO377" s="75">
        <f t="shared" si="1750"/>
        <v>0</v>
      </c>
      <c r="BP377" s="81">
        <f t="shared" si="1751"/>
        <v>0</v>
      </c>
      <c r="BQ377" s="81">
        <f t="shared" si="1752"/>
        <v>0</v>
      </c>
      <c r="BR377" s="81">
        <f t="shared" si="1753"/>
        <v>0</v>
      </c>
      <c r="BS377" s="81">
        <f t="shared" si="1754"/>
        <v>0</v>
      </c>
      <c r="BT377" s="81">
        <f t="shared" si="1755"/>
        <v>0</v>
      </c>
      <c r="BU377" s="81">
        <f t="shared" si="1756"/>
        <v>0</v>
      </c>
      <c r="BV377" s="81">
        <f t="shared" si="1757"/>
        <v>0</v>
      </c>
      <c r="BW377" s="81">
        <f t="shared" si="1758"/>
        <v>0</v>
      </c>
      <c r="BX377" s="1"/>
      <c r="BY377" s="1"/>
      <c r="BZ377" s="1"/>
      <c r="CA377" s="1"/>
      <c r="CB377" s="1"/>
      <c r="CC377" s="1"/>
      <c r="CD377" s="1"/>
      <c r="CE377" s="1"/>
      <c r="CF377" s="1"/>
      <c r="CG377" s="1"/>
    </row>
    <row r="378" spans="1:85" ht="15.75" customHeight="1">
      <c r="A378" s="125" t="s">
        <v>680</v>
      </c>
      <c r="B378" s="115"/>
      <c r="C378" s="86" t="s">
        <v>133</v>
      </c>
      <c r="D378" s="126" t="s">
        <v>681</v>
      </c>
      <c r="E378" s="70"/>
      <c r="F378" s="71"/>
      <c r="G378" s="71">
        <f t="shared" si="1742"/>
        <v>0</v>
      </c>
      <c r="H378" s="197">
        <v>150000</v>
      </c>
      <c r="I378" s="72">
        <f t="shared" si="1737"/>
        <v>0</v>
      </c>
      <c r="J378" s="72">
        <f t="shared" si="1738"/>
        <v>0</v>
      </c>
      <c r="K378" s="215"/>
      <c r="L378" s="81"/>
      <c r="M378" s="81"/>
      <c r="N378" s="73">
        <v>33450</v>
      </c>
      <c r="O378" s="77">
        <f t="shared" ref="O378:Q378" si="1765">AA378+AD378+AG378+AJ378+AM378+AP378+AS378+AV378+AY378+BB378+BE378+BH378</f>
        <v>0</v>
      </c>
      <c r="P378" s="77">
        <f t="shared" si="1765"/>
        <v>0</v>
      </c>
      <c r="Q378" s="77">
        <f t="shared" si="1765"/>
        <v>33450</v>
      </c>
      <c r="R378" s="77">
        <f t="shared" ref="R378:T378" si="1766">IF(BK378=0,SUM(AA378+AD378+AG378+AJ378+AM378+AP378+AS378+AV378+AY378+BB378+BE378+BH378),BK378)</f>
        <v>0</v>
      </c>
      <c r="S378" s="77">
        <f t="shared" si="1766"/>
        <v>0</v>
      </c>
      <c r="T378" s="77">
        <f t="shared" si="1766"/>
        <v>33450</v>
      </c>
      <c r="U378" s="79">
        <f t="shared" si="1745"/>
        <v>0</v>
      </c>
      <c r="V378" s="79">
        <f t="shared" si="1746"/>
        <v>0</v>
      </c>
      <c r="W378" s="79">
        <f t="shared" si="1747"/>
        <v>0</v>
      </c>
      <c r="X378" s="80">
        <f t="shared" ref="X378:Y378" si="1767">IF(O378&gt;0,O378/K378,0)</f>
        <v>0</v>
      </c>
      <c r="Y378" s="80">
        <f t="shared" si="1767"/>
        <v>0</v>
      </c>
      <c r="Z378" s="80">
        <f t="shared" si="1518"/>
        <v>1</v>
      </c>
      <c r="AA378" s="81"/>
      <c r="AB378" s="81"/>
      <c r="AC378" s="81"/>
      <c r="AD378" s="81"/>
      <c r="AE378" s="83"/>
      <c r="AF378" s="83"/>
      <c r="AG378" s="83"/>
      <c r="AH378" s="83"/>
      <c r="AI378" s="82">
        <v>14077.8</v>
      </c>
      <c r="AJ378" s="81"/>
      <c r="AK378" s="81"/>
      <c r="AL378" s="81"/>
      <c r="AM378" s="81"/>
      <c r="AN378" s="81"/>
      <c r="AO378" s="81">
        <f>13447.5+5924.7</f>
        <v>19372.2</v>
      </c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  <c r="BE378" s="81"/>
      <c r="BF378" s="81"/>
      <c r="BG378" s="81"/>
      <c r="BH378" s="81"/>
      <c r="BI378" s="81"/>
      <c r="BJ378" s="81"/>
      <c r="BK378" s="82">
        <v>0</v>
      </c>
      <c r="BL378" s="82">
        <v>0</v>
      </c>
      <c r="BM378" s="82">
        <v>33450</v>
      </c>
      <c r="BN378" s="81">
        <f t="shared" si="1749"/>
        <v>0</v>
      </c>
      <c r="BO378" s="75">
        <f t="shared" si="1750"/>
        <v>0</v>
      </c>
      <c r="BP378" s="81">
        <f t="shared" si="1751"/>
        <v>0</v>
      </c>
      <c r="BQ378" s="81">
        <f t="shared" si="1752"/>
        <v>0</v>
      </c>
      <c r="BR378" s="81">
        <f t="shared" si="1753"/>
        <v>0</v>
      </c>
      <c r="BS378" s="81">
        <f t="shared" si="1754"/>
        <v>0</v>
      </c>
      <c r="BT378" s="81">
        <f t="shared" si="1755"/>
        <v>0</v>
      </c>
      <c r="BU378" s="81">
        <f t="shared" si="1756"/>
        <v>0</v>
      </c>
      <c r="BV378" s="81">
        <f t="shared" si="1757"/>
        <v>0</v>
      </c>
      <c r="BW378" s="81">
        <f t="shared" si="1758"/>
        <v>0</v>
      </c>
      <c r="BX378" s="1"/>
      <c r="BY378" s="1"/>
      <c r="BZ378" s="1"/>
      <c r="CA378" s="1"/>
      <c r="CB378" s="1"/>
      <c r="CC378" s="1"/>
      <c r="CD378" s="1"/>
      <c r="CE378" s="1"/>
      <c r="CF378" s="1"/>
      <c r="CG378" s="1"/>
    </row>
    <row r="379" spans="1:85" ht="15.75" customHeight="1">
      <c r="A379" s="125" t="s">
        <v>682</v>
      </c>
      <c r="B379" s="115" t="s">
        <v>683</v>
      </c>
      <c r="C379" s="86" t="s">
        <v>133</v>
      </c>
      <c r="D379" s="126" t="s">
        <v>684</v>
      </c>
      <c r="E379" s="70"/>
      <c r="F379" s="71"/>
      <c r="G379" s="71">
        <f t="shared" si="1742"/>
        <v>0</v>
      </c>
      <c r="H379" s="70"/>
      <c r="I379" s="72">
        <f t="shared" si="1737"/>
        <v>0</v>
      </c>
      <c r="J379" s="72">
        <f t="shared" si="1738"/>
        <v>0</v>
      </c>
      <c r="K379" s="107"/>
      <c r="L379" s="81">
        <v>83905.95</v>
      </c>
      <c r="M379" s="82">
        <f>32993.35-32993.35+3.65</f>
        <v>3.65</v>
      </c>
      <c r="N379" s="73">
        <v>3315</v>
      </c>
      <c r="O379" s="77">
        <f t="shared" ref="O379:Q379" si="1768">AA379+AD379+AG379+AJ379+AM379+AP379+AS379+AV379+AY379+BB379+BE379+BH379</f>
        <v>0</v>
      </c>
      <c r="P379" s="77">
        <f t="shared" si="1768"/>
        <v>83902.3</v>
      </c>
      <c r="Q379" s="77">
        <f t="shared" si="1768"/>
        <v>0</v>
      </c>
      <c r="R379" s="77">
        <f t="shared" ref="R379:T379" si="1769">IF(BK379=0,SUM(AA379+AD379+AG379+AJ379+AM379+AP379+AS379+AV379+AY379+BB379+BE379+BH379),BK379)</f>
        <v>0</v>
      </c>
      <c r="S379" s="77">
        <f t="shared" si="1769"/>
        <v>83902.3</v>
      </c>
      <c r="T379" s="77">
        <f t="shared" si="1769"/>
        <v>0</v>
      </c>
      <c r="U379" s="79">
        <f t="shared" si="1745"/>
        <v>0</v>
      </c>
      <c r="V379" s="79">
        <f t="shared" si="1746"/>
        <v>0</v>
      </c>
      <c r="W379" s="78">
        <f t="shared" si="1747"/>
        <v>3315</v>
      </c>
      <c r="X379" s="80">
        <f t="shared" ref="X379:Y379" si="1770">IF(O379&gt;0,O379/K379,0)</f>
        <v>0</v>
      </c>
      <c r="Y379" s="80">
        <f t="shared" si="1770"/>
        <v>0.9999564989133668</v>
      </c>
      <c r="Z379" s="80">
        <f t="shared" si="1518"/>
        <v>0</v>
      </c>
      <c r="AA379" s="81"/>
      <c r="AB379" s="81"/>
      <c r="AC379" s="81"/>
      <c r="AD379" s="81"/>
      <c r="AE379" s="83"/>
      <c r="AF379" s="83"/>
      <c r="AG379" s="83"/>
      <c r="AH379" s="81">
        <f>1362.5+2425</f>
        <v>3787.5</v>
      </c>
      <c r="AI379" s="81"/>
      <c r="AJ379" s="81"/>
      <c r="AK379" s="81">
        <f>2730.5+1352.1+5833+3027.6</f>
        <v>12943.2</v>
      </c>
      <c r="AL379" s="81"/>
      <c r="AM379" s="81"/>
      <c r="AN379" s="81">
        <f>4366+4260+3752.5+2547.7+4867.5</f>
        <v>19793.7</v>
      </c>
      <c r="AO379" s="81"/>
      <c r="AP379" s="81"/>
      <c r="AQ379" s="81">
        <f>2387.5+4543.3+2586+4871.4</f>
        <v>14388.199999999999</v>
      </c>
      <c r="AR379" s="81"/>
      <c r="AS379" s="81"/>
      <c r="AT379" s="81">
        <f>3425+2588</f>
        <v>6013</v>
      </c>
      <c r="AU379" s="81"/>
      <c r="AV379" s="81"/>
      <c r="AW379" s="81">
        <f>2713.5+5326.6+5256+3012.5</f>
        <v>16308.6</v>
      </c>
      <c r="AX379" s="81"/>
      <c r="AY379" s="81"/>
      <c r="AZ379" s="81">
        <f>1465+4811.6</f>
        <v>6276.6</v>
      </c>
      <c r="BA379" s="81"/>
      <c r="BB379" s="81"/>
      <c r="BC379" s="81">
        <f>3560.5</f>
        <v>3560.5</v>
      </c>
      <c r="BD379" s="81"/>
      <c r="BE379" s="81"/>
      <c r="BF379" s="81">
        <f>831</f>
        <v>831</v>
      </c>
      <c r="BG379" s="81"/>
      <c r="BH379" s="81"/>
      <c r="BI379" s="81"/>
      <c r="BJ379" s="81"/>
      <c r="BK379" s="82">
        <v>0</v>
      </c>
      <c r="BL379" s="82">
        <v>83902.3</v>
      </c>
      <c r="BM379" s="82">
        <v>0</v>
      </c>
      <c r="BN379" s="81">
        <f t="shared" si="1749"/>
        <v>0</v>
      </c>
      <c r="BO379" s="75">
        <f t="shared" si="1750"/>
        <v>0</v>
      </c>
      <c r="BP379" s="81">
        <f t="shared" si="1751"/>
        <v>0</v>
      </c>
      <c r="BQ379" s="81">
        <f t="shared" si="1752"/>
        <v>0</v>
      </c>
      <c r="BR379" s="81">
        <f t="shared" si="1753"/>
        <v>3315</v>
      </c>
      <c r="BS379" s="81">
        <f t="shared" si="1754"/>
        <v>3315</v>
      </c>
      <c r="BT379" s="81">
        <f t="shared" si="1755"/>
        <v>0</v>
      </c>
      <c r="BU379" s="81">
        <f t="shared" si="1756"/>
        <v>0</v>
      </c>
      <c r="BV379" s="81">
        <f t="shared" si="1757"/>
        <v>3315</v>
      </c>
      <c r="BW379" s="81">
        <f t="shared" si="1758"/>
        <v>3315</v>
      </c>
      <c r="BX379" s="1"/>
      <c r="BY379" s="1"/>
      <c r="BZ379" s="1"/>
      <c r="CA379" s="1"/>
      <c r="CB379" s="1"/>
      <c r="CC379" s="1"/>
      <c r="CD379" s="1"/>
      <c r="CE379" s="1"/>
      <c r="CF379" s="1"/>
      <c r="CG379" s="1"/>
    </row>
    <row r="380" spans="1:85" ht="15.75" customHeight="1">
      <c r="A380" s="108"/>
      <c r="B380" s="115"/>
      <c r="C380" s="86" t="s">
        <v>133</v>
      </c>
      <c r="D380" s="87" t="s">
        <v>685</v>
      </c>
      <c r="E380" s="70"/>
      <c r="F380" s="71"/>
      <c r="G380" s="71">
        <f t="shared" si="1742"/>
        <v>0</v>
      </c>
      <c r="H380" s="197">
        <v>100000</v>
      </c>
      <c r="I380" s="72">
        <f t="shared" si="1737"/>
        <v>0</v>
      </c>
      <c r="J380" s="72">
        <f t="shared" si="1738"/>
        <v>0</v>
      </c>
      <c r="K380" s="107"/>
      <c r="L380" s="81"/>
      <c r="M380" s="81"/>
      <c r="N380" s="88"/>
      <c r="O380" s="77">
        <f t="shared" ref="O380:Q380" si="1771">AA380+AD380+AG380+AJ380+AM380+AP380+AS380+AV380+AY380+BB380+BE380+BH380</f>
        <v>0</v>
      </c>
      <c r="P380" s="77">
        <f t="shared" si="1771"/>
        <v>0</v>
      </c>
      <c r="Q380" s="77">
        <f t="shared" si="1771"/>
        <v>0</v>
      </c>
      <c r="R380" s="77">
        <f t="shared" ref="R380:T380" si="1772">IF(BK380=0,SUM(AA380+AD380+AG380+AJ380+AM380+AP380+AS380+AV380+AY380+BB380+BE380+BH380),BK380)</f>
        <v>0</v>
      </c>
      <c r="S380" s="77">
        <f t="shared" si="1772"/>
        <v>0</v>
      </c>
      <c r="T380" s="77">
        <f t="shared" si="1772"/>
        <v>0</v>
      </c>
      <c r="U380" s="79">
        <f t="shared" si="1745"/>
        <v>0</v>
      </c>
      <c r="V380" s="79">
        <f t="shared" si="1746"/>
        <v>0</v>
      </c>
      <c r="W380" s="79">
        <f t="shared" si="1747"/>
        <v>0</v>
      </c>
      <c r="X380" s="80">
        <f t="shared" ref="X380:Y380" si="1773">IF(O380&gt;0,O380/K380,0)</f>
        <v>0</v>
      </c>
      <c r="Y380" s="80">
        <f t="shared" si="1773"/>
        <v>0</v>
      </c>
      <c r="Z380" s="80">
        <f t="shared" si="1518"/>
        <v>0</v>
      </c>
      <c r="AA380" s="81"/>
      <c r="AB380" s="81"/>
      <c r="AC380" s="81"/>
      <c r="AD380" s="81"/>
      <c r="AE380" s="83"/>
      <c r="AF380" s="83"/>
      <c r="AG380" s="83"/>
      <c r="AH380" s="83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  <c r="BE380" s="81"/>
      <c r="BF380" s="81"/>
      <c r="BG380" s="81"/>
      <c r="BH380" s="81"/>
      <c r="BI380" s="81"/>
      <c r="BJ380" s="81"/>
      <c r="BK380" s="82">
        <v>0</v>
      </c>
      <c r="BL380" s="82">
        <v>0</v>
      </c>
      <c r="BM380" s="82">
        <v>0</v>
      </c>
      <c r="BN380" s="81">
        <f t="shared" si="1749"/>
        <v>0</v>
      </c>
      <c r="BO380" s="75">
        <f t="shared" si="1750"/>
        <v>0</v>
      </c>
      <c r="BP380" s="81">
        <f t="shared" si="1751"/>
        <v>0</v>
      </c>
      <c r="BQ380" s="81">
        <f t="shared" si="1752"/>
        <v>0</v>
      </c>
      <c r="BR380" s="81">
        <f t="shared" si="1753"/>
        <v>0</v>
      </c>
      <c r="BS380" s="81">
        <f t="shared" si="1754"/>
        <v>0</v>
      </c>
      <c r="BT380" s="81">
        <f t="shared" si="1755"/>
        <v>0</v>
      </c>
      <c r="BU380" s="81">
        <f t="shared" si="1756"/>
        <v>0</v>
      </c>
      <c r="BV380" s="81">
        <f t="shared" si="1757"/>
        <v>0</v>
      </c>
      <c r="BW380" s="81">
        <f t="shared" si="1758"/>
        <v>0</v>
      </c>
      <c r="BX380" s="1"/>
      <c r="BY380" s="1"/>
      <c r="BZ380" s="1"/>
      <c r="CA380" s="1"/>
      <c r="CB380" s="1"/>
      <c r="CC380" s="1"/>
      <c r="CD380" s="1"/>
      <c r="CE380" s="1"/>
      <c r="CF380" s="1"/>
      <c r="CG380" s="1"/>
    </row>
    <row r="381" spans="1:85" ht="15.75" customHeight="1">
      <c r="A381" s="145"/>
      <c r="B381" s="132" t="s">
        <v>686</v>
      </c>
      <c r="C381" s="86" t="s">
        <v>133</v>
      </c>
      <c r="D381" s="87" t="s">
        <v>687</v>
      </c>
      <c r="E381" s="70"/>
      <c r="F381" s="71"/>
      <c r="G381" s="71">
        <f t="shared" si="1742"/>
        <v>0</v>
      </c>
      <c r="H381" s="70"/>
      <c r="I381" s="72">
        <f t="shared" si="1737"/>
        <v>0</v>
      </c>
      <c r="J381" s="72">
        <f t="shared" si="1738"/>
        <v>0</v>
      </c>
      <c r="K381" s="88"/>
      <c r="L381" s="81">
        <v>98709.6</v>
      </c>
      <c r="M381" s="81"/>
      <c r="N381" s="88"/>
      <c r="O381" s="77">
        <f t="shared" ref="O381:Q381" si="1774">AA381+AD381+AG381+AJ381+AM381+AP381+AS381+AV381+AY381+BB381+BE381+BH381</f>
        <v>0</v>
      </c>
      <c r="P381" s="77">
        <f t="shared" si="1774"/>
        <v>98709.599999999991</v>
      </c>
      <c r="Q381" s="77">
        <f t="shared" si="1774"/>
        <v>0</v>
      </c>
      <c r="R381" s="77">
        <f t="shared" ref="R381:T381" si="1775">IF(BK381=0,SUM(AA381+AD381+AG381+AJ381+AM381+AP381+AS381+AV381+AY381+BB381+BE381+BH381),BK381)</f>
        <v>0</v>
      </c>
      <c r="S381" s="77">
        <f t="shared" si="1775"/>
        <v>98709.6</v>
      </c>
      <c r="T381" s="77">
        <f t="shared" si="1775"/>
        <v>0</v>
      </c>
      <c r="U381" s="79">
        <f t="shared" si="1745"/>
        <v>0</v>
      </c>
      <c r="V381" s="79">
        <f t="shared" si="1746"/>
        <v>0</v>
      </c>
      <c r="W381" s="79">
        <f t="shared" si="1747"/>
        <v>0</v>
      </c>
      <c r="X381" s="80">
        <f t="shared" ref="X381:Y381" si="1776">IF(O381&gt;0,O381/K381,0)</f>
        <v>0</v>
      </c>
      <c r="Y381" s="80">
        <f t="shared" si="1776"/>
        <v>0.99999999999999989</v>
      </c>
      <c r="Z381" s="80">
        <f t="shared" si="1518"/>
        <v>0</v>
      </c>
      <c r="AA381" s="81"/>
      <c r="AB381" s="81"/>
      <c r="AC381" s="81"/>
      <c r="AD381" s="81"/>
      <c r="AE381" s="128">
        <v>18939.36</v>
      </c>
      <c r="AF381" s="83"/>
      <c r="AG381" s="83"/>
      <c r="AH381" s="81">
        <f>20977.44+18231.84+16589.76</f>
        <v>55799.039999999994</v>
      </c>
      <c r="AI381" s="81"/>
      <c r="AJ381" s="81"/>
      <c r="AK381" s="82">
        <v>18934.080000000002</v>
      </c>
      <c r="AL381" s="81"/>
      <c r="AM381" s="81"/>
      <c r="AN381" s="82">
        <v>5037.12</v>
      </c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  <c r="BE381" s="81"/>
      <c r="BF381" s="81"/>
      <c r="BG381" s="81"/>
      <c r="BH381" s="81"/>
      <c r="BI381" s="81"/>
      <c r="BJ381" s="81"/>
      <c r="BK381" s="82">
        <v>0</v>
      </c>
      <c r="BL381" s="82">
        <v>98709.6</v>
      </c>
      <c r="BM381" s="82">
        <v>0</v>
      </c>
      <c r="BN381" s="81">
        <f t="shared" si="1749"/>
        <v>0</v>
      </c>
      <c r="BO381" s="75">
        <f t="shared" si="1750"/>
        <v>0</v>
      </c>
      <c r="BP381" s="81">
        <f t="shared" si="1751"/>
        <v>0</v>
      </c>
      <c r="BQ381" s="81">
        <f t="shared" si="1752"/>
        <v>0</v>
      </c>
      <c r="BR381" s="81">
        <f t="shared" si="1753"/>
        <v>0</v>
      </c>
      <c r="BS381" s="81">
        <f t="shared" si="1754"/>
        <v>0</v>
      </c>
      <c r="BT381" s="81">
        <f t="shared" si="1755"/>
        <v>0</v>
      </c>
      <c r="BU381" s="81">
        <f t="shared" si="1756"/>
        <v>0</v>
      </c>
      <c r="BV381" s="81">
        <f t="shared" si="1757"/>
        <v>0</v>
      </c>
      <c r="BW381" s="81">
        <f t="shared" si="1758"/>
        <v>0</v>
      </c>
      <c r="BX381" s="1"/>
      <c r="BY381" s="1"/>
      <c r="BZ381" s="1"/>
      <c r="CA381" s="1"/>
      <c r="CB381" s="1"/>
      <c r="CC381" s="1"/>
      <c r="CD381" s="1"/>
      <c r="CE381" s="1"/>
      <c r="CF381" s="1"/>
      <c r="CG381" s="1"/>
    </row>
    <row r="382" spans="1:85" ht="15.75" customHeight="1">
      <c r="A382" s="145"/>
      <c r="B382" s="132" t="s">
        <v>688</v>
      </c>
      <c r="C382" s="86" t="s">
        <v>133</v>
      </c>
      <c r="D382" s="87" t="s">
        <v>687</v>
      </c>
      <c r="E382" s="70"/>
      <c r="F382" s="71"/>
      <c r="G382" s="71">
        <f t="shared" si="1742"/>
        <v>0</v>
      </c>
      <c r="H382" s="70"/>
      <c r="I382" s="72">
        <f t="shared" si="1737"/>
        <v>0</v>
      </c>
      <c r="J382" s="72">
        <f t="shared" si="1738"/>
        <v>0</v>
      </c>
      <c r="K382" s="88"/>
      <c r="L382" s="81">
        <v>23138.15</v>
      </c>
      <c r="M382" s="81">
        <f>199.5+1.5</f>
        <v>201</v>
      </c>
      <c r="N382" s="88"/>
      <c r="O382" s="77">
        <f t="shared" ref="O382:Q382" si="1777">AA382+AD382+AG382+AJ382+AM382+AP382+AS382+AV382+AY382+BB382+BE382+BH382</f>
        <v>0</v>
      </c>
      <c r="P382" s="77">
        <f t="shared" si="1777"/>
        <v>22937.15</v>
      </c>
      <c r="Q382" s="77">
        <f t="shared" si="1777"/>
        <v>0</v>
      </c>
      <c r="R382" s="77">
        <f t="shared" ref="R382:T382" si="1778">IF(BK382=0,SUM(AA382+AD382+AG382+AJ382+AM382+AP382+AS382+AV382+AY382+BB382+BE382+BH382),BK382)</f>
        <v>0</v>
      </c>
      <c r="S382" s="77">
        <f t="shared" si="1778"/>
        <v>22937.15</v>
      </c>
      <c r="T382" s="77">
        <f t="shared" si="1778"/>
        <v>0</v>
      </c>
      <c r="U382" s="79">
        <f t="shared" si="1745"/>
        <v>0</v>
      </c>
      <c r="V382" s="79">
        <f t="shared" si="1746"/>
        <v>0</v>
      </c>
      <c r="W382" s="79">
        <f t="shared" si="1747"/>
        <v>0</v>
      </c>
      <c r="X382" s="80">
        <f t="shared" ref="X382:Y382" si="1779">IF(O382&gt;0,O382/K382,0)</f>
        <v>0</v>
      </c>
      <c r="Y382" s="80">
        <f t="shared" si="1779"/>
        <v>0.99131304793166264</v>
      </c>
      <c r="Z382" s="80">
        <f t="shared" si="1518"/>
        <v>0</v>
      </c>
      <c r="AA382" s="81"/>
      <c r="AB382" s="81"/>
      <c r="AC382" s="81"/>
      <c r="AD382" s="81"/>
      <c r="AE382" s="128">
        <v>2060</v>
      </c>
      <c r="AF382" s="83"/>
      <c r="AG382" s="83"/>
      <c r="AH382" s="82">
        <v>697.75</v>
      </c>
      <c r="AI382" s="82"/>
      <c r="AJ382" s="81"/>
      <c r="AK382" s="81">
        <f>2442.6+2958</f>
        <v>5400.6</v>
      </c>
      <c r="AL382" s="81"/>
      <c r="AM382" s="81"/>
      <c r="AN382" s="82">
        <v>3133.5</v>
      </c>
      <c r="AO382" s="81"/>
      <c r="AP382" s="81"/>
      <c r="AQ382" s="81"/>
      <c r="AR382" s="81"/>
      <c r="AS382" s="81"/>
      <c r="AT382" s="82">
        <v>1469.6</v>
      </c>
      <c r="AU382" s="81"/>
      <c r="AV382" s="81"/>
      <c r="AW382" s="81">
        <f>5660+77.25+1157.6</f>
        <v>6894.85</v>
      </c>
      <c r="AX382" s="81"/>
      <c r="AY382" s="81"/>
      <c r="AZ382" s="81">
        <f>1529.6</f>
        <v>1529.6</v>
      </c>
      <c r="BA382" s="81"/>
      <c r="BB382" s="81"/>
      <c r="BC382" s="81"/>
      <c r="BD382" s="81"/>
      <c r="BE382" s="81"/>
      <c r="BF382" s="81">
        <f>1121.25</f>
        <v>1121.25</v>
      </c>
      <c r="BG382" s="81"/>
      <c r="BH382" s="81"/>
      <c r="BI382" s="82">
        <v>630</v>
      </c>
      <c r="BJ382" s="81"/>
      <c r="BK382" s="82">
        <v>0</v>
      </c>
      <c r="BL382" s="82">
        <v>22937.15</v>
      </c>
      <c r="BM382" s="82">
        <v>0</v>
      </c>
      <c r="BN382" s="81">
        <f t="shared" si="1749"/>
        <v>0</v>
      </c>
      <c r="BO382" s="75">
        <f t="shared" si="1750"/>
        <v>0</v>
      </c>
      <c r="BP382" s="81">
        <f t="shared" si="1751"/>
        <v>0</v>
      </c>
      <c r="BQ382" s="81">
        <f t="shared" si="1752"/>
        <v>0</v>
      </c>
      <c r="BR382" s="81">
        <f t="shared" si="1753"/>
        <v>0</v>
      </c>
      <c r="BS382" s="81">
        <f t="shared" si="1754"/>
        <v>0</v>
      </c>
      <c r="BT382" s="81">
        <f t="shared" si="1755"/>
        <v>0</v>
      </c>
      <c r="BU382" s="81">
        <f t="shared" si="1756"/>
        <v>0</v>
      </c>
      <c r="BV382" s="81">
        <f t="shared" si="1757"/>
        <v>0</v>
      </c>
      <c r="BW382" s="81">
        <f t="shared" si="1758"/>
        <v>0</v>
      </c>
      <c r="BX382" s="1"/>
      <c r="BY382" s="1"/>
      <c r="BZ382" s="1"/>
      <c r="CA382" s="1"/>
      <c r="CB382" s="1"/>
      <c r="CC382" s="1"/>
      <c r="CD382" s="1"/>
      <c r="CE382" s="1"/>
      <c r="CF382" s="1"/>
      <c r="CG382" s="1"/>
    </row>
    <row r="383" spans="1:85" ht="15.75" customHeight="1">
      <c r="A383" s="145"/>
      <c r="B383" s="132" t="s">
        <v>689</v>
      </c>
      <c r="C383" s="86" t="s">
        <v>133</v>
      </c>
      <c r="D383" s="87" t="s">
        <v>687</v>
      </c>
      <c r="E383" s="70"/>
      <c r="F383" s="71"/>
      <c r="G383" s="71">
        <f t="shared" si="1742"/>
        <v>0</v>
      </c>
      <c r="H383" s="70"/>
      <c r="I383" s="72">
        <f t="shared" si="1737"/>
        <v>0</v>
      </c>
      <c r="J383" s="72">
        <f t="shared" si="1738"/>
        <v>0</v>
      </c>
      <c r="K383" s="88"/>
      <c r="L383" s="81">
        <v>265761.25</v>
      </c>
      <c r="M383" s="81"/>
      <c r="N383" s="88"/>
      <c r="O383" s="77">
        <f t="shared" ref="O383:Q383" si="1780">AA383+AD383+AG383+AJ383+AM383+AP383+AS383+AV383+AY383+BB383+BE383+BH383</f>
        <v>0</v>
      </c>
      <c r="P383" s="77">
        <f t="shared" si="1780"/>
        <v>265761.25</v>
      </c>
      <c r="Q383" s="77">
        <f t="shared" si="1780"/>
        <v>0</v>
      </c>
      <c r="R383" s="77">
        <f t="shared" ref="R383:T383" si="1781">IF(BK383=0,SUM(AA383+AD383+AG383+AJ383+AM383+AP383+AS383+AV383+AY383+BB383+BE383+BH383),BK383)</f>
        <v>0</v>
      </c>
      <c r="S383" s="77">
        <f t="shared" si="1781"/>
        <v>265761.25</v>
      </c>
      <c r="T383" s="77">
        <f t="shared" si="1781"/>
        <v>0</v>
      </c>
      <c r="U383" s="79">
        <f t="shared" si="1745"/>
        <v>0</v>
      </c>
      <c r="V383" s="79">
        <f t="shared" si="1746"/>
        <v>0</v>
      </c>
      <c r="W383" s="79">
        <f t="shared" si="1747"/>
        <v>0</v>
      </c>
      <c r="X383" s="80">
        <f t="shared" ref="X383:Y383" si="1782">IF(O383&gt;0,O383/K383,0)</f>
        <v>0</v>
      </c>
      <c r="Y383" s="80">
        <f t="shared" si="1782"/>
        <v>1</v>
      </c>
      <c r="Z383" s="80">
        <f t="shared" si="1518"/>
        <v>0</v>
      </c>
      <c r="AA383" s="81"/>
      <c r="AB383" s="81"/>
      <c r="AC383" s="81"/>
      <c r="AD383" s="81"/>
      <c r="AE383" s="128">
        <v>85.6</v>
      </c>
      <c r="AF383" s="83"/>
      <c r="AG383" s="83"/>
      <c r="AH383" s="82">
        <v>371.3</v>
      </c>
      <c r="AI383" s="82"/>
      <c r="AJ383" s="81"/>
      <c r="AK383" s="81">
        <f>735.75</f>
        <v>735.75</v>
      </c>
      <c r="AL383" s="81"/>
      <c r="AM383" s="81"/>
      <c r="AN383" s="81">
        <f>15708+20559.52</f>
        <v>36267.520000000004</v>
      </c>
      <c r="AO383" s="81"/>
      <c r="AP383" s="81"/>
      <c r="AQ383" s="81">
        <f>24288+24821.28+31584.96+25692.48</f>
        <v>106386.71999999999</v>
      </c>
      <c r="AR383" s="81"/>
      <c r="AS383" s="81"/>
      <c r="AT383" s="82">
        <v>226.2</v>
      </c>
      <c r="AU383" s="81"/>
      <c r="AV383" s="81"/>
      <c r="AW383" s="81">
        <f>24351.36+16288.8+21172.8+33533.28</f>
        <v>95346.240000000005</v>
      </c>
      <c r="AX383" s="81"/>
      <c r="AY383" s="81"/>
      <c r="AZ383" s="81"/>
      <c r="BA383" s="81"/>
      <c r="BB383" s="81"/>
      <c r="BC383" s="81"/>
      <c r="BD383" s="81"/>
      <c r="BE383" s="81"/>
      <c r="BF383" s="81"/>
      <c r="BG383" s="81"/>
      <c r="BH383" s="81"/>
      <c r="BI383" s="82">
        <v>26341.919999999998</v>
      </c>
      <c r="BJ383" s="81"/>
      <c r="BK383" s="82">
        <v>0</v>
      </c>
      <c r="BL383" s="82">
        <v>265761.25</v>
      </c>
      <c r="BM383" s="82">
        <v>0</v>
      </c>
      <c r="BN383" s="81">
        <f t="shared" si="1749"/>
        <v>0</v>
      </c>
      <c r="BO383" s="75">
        <f t="shared" si="1750"/>
        <v>0</v>
      </c>
      <c r="BP383" s="81">
        <f t="shared" si="1751"/>
        <v>0</v>
      </c>
      <c r="BQ383" s="81">
        <f t="shared" si="1752"/>
        <v>0</v>
      </c>
      <c r="BR383" s="81">
        <f t="shared" si="1753"/>
        <v>0</v>
      </c>
      <c r="BS383" s="81">
        <f t="shared" si="1754"/>
        <v>0</v>
      </c>
      <c r="BT383" s="81">
        <f t="shared" si="1755"/>
        <v>0</v>
      </c>
      <c r="BU383" s="81">
        <f t="shared" si="1756"/>
        <v>0</v>
      </c>
      <c r="BV383" s="81">
        <f t="shared" si="1757"/>
        <v>0</v>
      </c>
      <c r="BW383" s="81">
        <f t="shared" si="1758"/>
        <v>0</v>
      </c>
      <c r="BX383" s="1"/>
      <c r="BY383" s="1"/>
      <c r="BZ383" s="1"/>
      <c r="CA383" s="1"/>
      <c r="CB383" s="1"/>
      <c r="CC383" s="1"/>
      <c r="CD383" s="1"/>
      <c r="CE383" s="1"/>
      <c r="CF383" s="1"/>
      <c r="CG383" s="1"/>
    </row>
    <row r="384" spans="1:85" ht="15.75" customHeight="1">
      <c r="A384" s="145"/>
      <c r="B384" s="132" t="s">
        <v>690</v>
      </c>
      <c r="C384" s="86" t="s">
        <v>133</v>
      </c>
      <c r="D384" s="87" t="s">
        <v>687</v>
      </c>
      <c r="E384" s="70"/>
      <c r="F384" s="71"/>
      <c r="G384" s="71">
        <f t="shared" si="1742"/>
        <v>0</v>
      </c>
      <c r="H384" s="70"/>
      <c r="I384" s="72">
        <f t="shared" si="1737"/>
        <v>0</v>
      </c>
      <c r="J384" s="72">
        <f t="shared" si="1738"/>
        <v>0</v>
      </c>
      <c r="K384" s="88"/>
      <c r="L384" s="81">
        <v>29731.55</v>
      </c>
      <c r="M384" s="81">
        <f>3122.5</f>
        <v>3122.5</v>
      </c>
      <c r="N384" s="88"/>
      <c r="O384" s="77">
        <f t="shared" ref="O384:Q384" si="1783">AA384+AD384+AG384+AJ384+AM384+AP384+AS384+AV384+AY384+BB384+BE384+BH384</f>
        <v>0</v>
      </c>
      <c r="P384" s="77">
        <f t="shared" si="1783"/>
        <v>18799.699999999997</v>
      </c>
      <c r="Q384" s="77">
        <f t="shared" si="1783"/>
        <v>0</v>
      </c>
      <c r="R384" s="77">
        <f t="shared" ref="R384:T384" si="1784">IF(BK384=0,SUM(AA384+AD384+AG384+AJ384+AM384+AP384+AS384+AV384+AY384+BB384+BE384+BH384),BK384)</f>
        <v>0</v>
      </c>
      <c r="S384" s="77">
        <f t="shared" si="1784"/>
        <v>18799.7</v>
      </c>
      <c r="T384" s="77">
        <f t="shared" si="1784"/>
        <v>0</v>
      </c>
      <c r="U384" s="79">
        <f t="shared" si="1745"/>
        <v>0</v>
      </c>
      <c r="V384" s="79">
        <f t="shared" si="1746"/>
        <v>7809.3499999999985</v>
      </c>
      <c r="W384" s="79">
        <f t="shared" si="1747"/>
        <v>0</v>
      </c>
      <c r="X384" s="80">
        <f t="shared" ref="X384:Y384" si="1785">IF(O384&gt;0,O384/K384,0)</f>
        <v>0</v>
      </c>
      <c r="Y384" s="80">
        <f t="shared" si="1785"/>
        <v>0.63231483054196624</v>
      </c>
      <c r="Z384" s="80">
        <f t="shared" si="1518"/>
        <v>0</v>
      </c>
      <c r="AA384" s="81"/>
      <c r="AB384" s="81"/>
      <c r="AC384" s="81"/>
      <c r="AD384" s="81"/>
      <c r="AE384" s="128">
        <v>2156.4</v>
      </c>
      <c r="AF384" s="83"/>
      <c r="AG384" s="83"/>
      <c r="AH384" s="82">
        <v>685</v>
      </c>
      <c r="AI384" s="82"/>
      <c r="AJ384" s="81"/>
      <c r="AK384" s="82">
        <v>117.5</v>
      </c>
      <c r="AL384" s="81"/>
      <c r="AM384" s="81"/>
      <c r="AN384" s="82">
        <v>2372.5</v>
      </c>
      <c r="AO384" s="81"/>
      <c r="AP384" s="81"/>
      <c r="AQ384" s="81"/>
      <c r="AR384" s="81"/>
      <c r="AS384" s="81"/>
      <c r="AT384" s="82">
        <v>515</v>
      </c>
      <c r="AU384" s="81"/>
      <c r="AV384" s="81"/>
      <c r="AW384" s="81">
        <f>1324+1030+1545</f>
        <v>3899</v>
      </c>
      <c r="AX384" s="81"/>
      <c r="AY384" s="81"/>
      <c r="AZ384" s="81">
        <f>1887.5</f>
        <v>1887.5</v>
      </c>
      <c r="BA384" s="81"/>
      <c r="BB384" s="81"/>
      <c r="BC384" s="81"/>
      <c r="BD384" s="81"/>
      <c r="BE384" s="81"/>
      <c r="BF384" s="81">
        <f>2378.4</f>
        <v>2378.4</v>
      </c>
      <c r="BG384" s="81"/>
      <c r="BH384" s="81"/>
      <c r="BI384" s="81">
        <f>917.15+3871.25</f>
        <v>4788.3999999999996</v>
      </c>
      <c r="BJ384" s="81"/>
      <c r="BK384" s="82">
        <v>0</v>
      </c>
      <c r="BL384" s="82">
        <v>18799.7</v>
      </c>
      <c r="BM384" s="82">
        <v>0</v>
      </c>
      <c r="BN384" s="81">
        <f t="shared" si="1749"/>
        <v>0</v>
      </c>
      <c r="BO384" s="75">
        <f t="shared" si="1750"/>
        <v>0</v>
      </c>
      <c r="BP384" s="81">
        <f t="shared" si="1751"/>
        <v>0</v>
      </c>
      <c r="BQ384" s="81">
        <f t="shared" si="1752"/>
        <v>0</v>
      </c>
      <c r="BR384" s="81">
        <f t="shared" si="1753"/>
        <v>0</v>
      </c>
      <c r="BS384" s="81">
        <f t="shared" si="1754"/>
        <v>0</v>
      </c>
      <c r="BT384" s="133">
        <f t="shared" si="1755"/>
        <v>7809.3499999999985</v>
      </c>
      <c r="BU384" s="81">
        <f t="shared" si="1756"/>
        <v>0</v>
      </c>
      <c r="BV384" s="81">
        <f t="shared" si="1757"/>
        <v>0</v>
      </c>
      <c r="BW384" s="81">
        <f t="shared" si="1758"/>
        <v>7809.3499999999985</v>
      </c>
      <c r="BX384" s="1"/>
      <c r="BY384" s="1"/>
      <c r="BZ384" s="1"/>
      <c r="CA384" s="1"/>
      <c r="CB384" s="1"/>
      <c r="CC384" s="1"/>
      <c r="CD384" s="1"/>
      <c r="CE384" s="1"/>
      <c r="CF384" s="1"/>
      <c r="CG384" s="1"/>
    </row>
    <row r="385" spans="1:85" ht="15.75" customHeight="1">
      <c r="A385" s="113"/>
      <c r="B385" s="67" t="s">
        <v>691</v>
      </c>
      <c r="C385" s="86" t="s">
        <v>133</v>
      </c>
      <c r="D385" s="87" t="s">
        <v>687</v>
      </c>
      <c r="E385" s="70"/>
      <c r="F385" s="71"/>
      <c r="G385" s="71">
        <f t="shared" si="1742"/>
        <v>0</v>
      </c>
      <c r="H385" s="70"/>
      <c r="I385" s="72">
        <f t="shared" si="1737"/>
        <v>0</v>
      </c>
      <c r="J385" s="72">
        <f t="shared" si="1738"/>
        <v>0</v>
      </c>
      <c r="K385" s="88"/>
      <c r="L385" s="81">
        <v>175520.22</v>
      </c>
      <c r="M385" s="81">
        <f>8847.2+4.03</f>
        <v>8851.2300000000014</v>
      </c>
      <c r="N385" s="88"/>
      <c r="O385" s="77">
        <f t="shared" ref="O385:Q385" si="1786">AA385+AD385+AG385+AJ385+AM385+AP385+AS385+AV385+AY385+BB385+BE385+BH385</f>
        <v>0</v>
      </c>
      <c r="P385" s="77">
        <f t="shared" si="1786"/>
        <v>166668.99</v>
      </c>
      <c r="Q385" s="77">
        <f t="shared" si="1786"/>
        <v>0</v>
      </c>
      <c r="R385" s="77">
        <f t="shared" ref="R385:T385" si="1787">IF(BK385=0,SUM(AA385+AD385+AG385+AJ385+AM385+AP385+AS385+AV385+AY385+BB385+BE385+BH385),BK385)</f>
        <v>0</v>
      </c>
      <c r="S385" s="77">
        <f t="shared" si="1787"/>
        <v>166668.99</v>
      </c>
      <c r="T385" s="77">
        <f t="shared" si="1787"/>
        <v>0</v>
      </c>
      <c r="U385" s="79">
        <f t="shared" si="1745"/>
        <v>0</v>
      </c>
      <c r="V385" s="79">
        <f t="shared" si="1746"/>
        <v>0</v>
      </c>
      <c r="W385" s="79">
        <f t="shared" si="1747"/>
        <v>0</v>
      </c>
      <c r="X385" s="80">
        <f t="shared" ref="X385:Y385" si="1788">IF(O385&gt;0,O385/K385,0)</f>
        <v>0</v>
      </c>
      <c r="Y385" s="80">
        <f t="shared" si="1788"/>
        <v>0.94957145108409724</v>
      </c>
      <c r="Z385" s="80">
        <f t="shared" si="1518"/>
        <v>0</v>
      </c>
      <c r="AA385" s="81"/>
      <c r="AB385" s="81"/>
      <c r="AC385" s="81"/>
      <c r="AD385" s="81"/>
      <c r="AE385" s="128">
        <v>16330.82</v>
      </c>
      <c r="AF385" s="83"/>
      <c r="AG385" s="83"/>
      <c r="AH385" s="82">
        <v>10630.32</v>
      </c>
      <c r="AI385" s="82"/>
      <c r="AJ385" s="81"/>
      <c r="AK385" s="81">
        <f>10039.5+15772.5</f>
        <v>25812</v>
      </c>
      <c r="AL385" s="81"/>
      <c r="AM385" s="81"/>
      <c r="AN385" s="82">
        <v>16440.650000000001</v>
      </c>
      <c r="AO385" s="81"/>
      <c r="AP385" s="81"/>
      <c r="AQ385" s="81">
        <f>996.4+3594.6</f>
        <v>4591</v>
      </c>
      <c r="AR385" s="81"/>
      <c r="AS385" s="81"/>
      <c r="AT385" s="82">
        <v>29976.5</v>
      </c>
      <c r="AU385" s="81"/>
      <c r="AV385" s="81"/>
      <c r="AW385" s="81">
        <f>1990.16+4064.6+7479.63</f>
        <v>13534.39</v>
      </c>
      <c r="AX385" s="81"/>
      <c r="AY385" s="81"/>
      <c r="AZ385" s="81">
        <f>2440.4</f>
        <v>2440.4</v>
      </c>
      <c r="BA385" s="81"/>
      <c r="BB385" s="81"/>
      <c r="BC385" s="81">
        <f>2006</f>
        <v>2006</v>
      </c>
      <c r="BD385" s="81"/>
      <c r="BE385" s="81"/>
      <c r="BF385" s="81">
        <f>6794.94</f>
        <v>6794.94</v>
      </c>
      <c r="BG385" s="81"/>
      <c r="BH385" s="81"/>
      <c r="BI385" s="81">
        <f>18846.56+19265.41</f>
        <v>38111.97</v>
      </c>
      <c r="BJ385" s="81"/>
      <c r="BK385" s="82">
        <v>0</v>
      </c>
      <c r="BL385" s="82">
        <v>166668.99</v>
      </c>
      <c r="BM385" s="82">
        <v>0</v>
      </c>
      <c r="BN385" s="81">
        <f t="shared" si="1749"/>
        <v>0</v>
      </c>
      <c r="BO385" s="75">
        <f t="shared" si="1750"/>
        <v>0</v>
      </c>
      <c r="BP385" s="81">
        <f t="shared" si="1751"/>
        <v>0</v>
      </c>
      <c r="BQ385" s="81">
        <f t="shared" si="1752"/>
        <v>0</v>
      </c>
      <c r="BR385" s="81">
        <f t="shared" si="1753"/>
        <v>0</v>
      </c>
      <c r="BS385" s="81">
        <f t="shared" si="1754"/>
        <v>0</v>
      </c>
      <c r="BT385" s="81">
        <f t="shared" si="1755"/>
        <v>0</v>
      </c>
      <c r="BU385" s="81">
        <f t="shared" si="1756"/>
        <v>0</v>
      </c>
      <c r="BV385" s="81">
        <f t="shared" si="1757"/>
        <v>0</v>
      </c>
      <c r="BW385" s="81">
        <f t="shared" si="1758"/>
        <v>0</v>
      </c>
      <c r="BX385" s="1"/>
      <c r="BY385" s="1"/>
      <c r="BZ385" s="1"/>
      <c r="CA385" s="1"/>
      <c r="CB385" s="1"/>
      <c r="CC385" s="1"/>
      <c r="CD385" s="1"/>
      <c r="CE385" s="1"/>
      <c r="CF385" s="1"/>
      <c r="CG385" s="1"/>
    </row>
    <row r="386" spans="1:85" ht="15.75" customHeight="1">
      <c r="A386" s="66" t="s">
        <v>692</v>
      </c>
      <c r="B386" s="114"/>
      <c r="C386" s="86" t="s">
        <v>133</v>
      </c>
      <c r="D386" s="126" t="s">
        <v>681</v>
      </c>
      <c r="E386" s="70"/>
      <c r="F386" s="71"/>
      <c r="G386" s="71">
        <f t="shared" si="1742"/>
        <v>0</v>
      </c>
      <c r="H386" s="70"/>
      <c r="I386" s="72">
        <f t="shared" si="1737"/>
        <v>0</v>
      </c>
      <c r="J386" s="72">
        <f t="shared" si="1738"/>
        <v>0</v>
      </c>
      <c r="K386" s="88"/>
      <c r="L386" s="81"/>
      <c r="M386" s="82"/>
      <c r="N386" s="73">
        <f>292800-144600</f>
        <v>148200</v>
      </c>
      <c r="O386" s="77">
        <f t="shared" ref="O386:Q386" si="1789">AA386+AD386+AG386+AJ386+AM386+AP386+AS386+AV386+AY386+BB386+BE386+BH386</f>
        <v>0</v>
      </c>
      <c r="P386" s="77">
        <f t="shared" si="1789"/>
        <v>0</v>
      </c>
      <c r="Q386" s="77">
        <f t="shared" si="1789"/>
        <v>41239.5</v>
      </c>
      <c r="R386" s="77">
        <f t="shared" ref="R386:T386" si="1790">IF(BK386=0,SUM(AA386+AD386+AG386+AJ386+AM386+AP386+AS386+AV386+AY386+BB386+BE386+BH386),BK386)</f>
        <v>0</v>
      </c>
      <c r="S386" s="77">
        <f t="shared" si="1790"/>
        <v>0</v>
      </c>
      <c r="T386" s="77">
        <f t="shared" si="1790"/>
        <v>41239.5</v>
      </c>
      <c r="U386" s="79">
        <f t="shared" si="1745"/>
        <v>0</v>
      </c>
      <c r="V386" s="79">
        <f t="shared" si="1746"/>
        <v>0</v>
      </c>
      <c r="W386" s="78">
        <f t="shared" si="1747"/>
        <v>106960.5</v>
      </c>
      <c r="X386" s="80">
        <f t="shared" ref="X386:Y386" si="1791">IF(O386&gt;0,O386/K386,0)</f>
        <v>0</v>
      </c>
      <c r="Y386" s="80">
        <f t="shared" si="1791"/>
        <v>0</v>
      </c>
      <c r="Z386" s="80">
        <f t="shared" si="1518"/>
        <v>0.27826923076923077</v>
      </c>
      <c r="AA386" s="81"/>
      <c r="AB386" s="81"/>
      <c r="AC386" s="81"/>
      <c r="AD386" s="81"/>
      <c r="AE386" s="83"/>
      <c r="AF386" s="83"/>
      <c r="AG386" s="83"/>
      <c r="AH386" s="83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>
        <f>15133.5+26106</f>
        <v>41239.5</v>
      </c>
      <c r="AY386" s="81"/>
      <c r="AZ386" s="81"/>
      <c r="BA386" s="81"/>
      <c r="BB386" s="81"/>
      <c r="BC386" s="81"/>
      <c r="BD386" s="81"/>
      <c r="BE386" s="81"/>
      <c r="BF386" s="81"/>
      <c r="BG386" s="81"/>
      <c r="BH386" s="81"/>
      <c r="BI386" s="81"/>
      <c r="BJ386" s="81"/>
      <c r="BK386" s="82">
        <v>0</v>
      </c>
      <c r="BL386" s="82">
        <v>0</v>
      </c>
      <c r="BM386" s="82">
        <v>41239.5</v>
      </c>
      <c r="BN386" s="81">
        <f t="shared" si="1749"/>
        <v>0</v>
      </c>
      <c r="BO386" s="75">
        <f t="shared" si="1750"/>
        <v>0</v>
      </c>
      <c r="BP386" s="81">
        <f t="shared" si="1751"/>
        <v>0</v>
      </c>
      <c r="BQ386" s="81">
        <f t="shared" si="1752"/>
        <v>0</v>
      </c>
      <c r="BR386" s="81">
        <f t="shared" si="1753"/>
        <v>106960.5</v>
      </c>
      <c r="BS386" s="81">
        <f t="shared" si="1754"/>
        <v>106960.5</v>
      </c>
      <c r="BT386" s="81">
        <f t="shared" si="1755"/>
        <v>0</v>
      </c>
      <c r="BU386" s="81">
        <f t="shared" si="1756"/>
        <v>0</v>
      </c>
      <c r="BV386" s="81">
        <f t="shared" si="1757"/>
        <v>106960.5</v>
      </c>
      <c r="BW386" s="81">
        <f t="shared" si="1758"/>
        <v>106960.5</v>
      </c>
      <c r="BX386" s="1"/>
      <c r="BY386" s="1"/>
      <c r="BZ386" s="1"/>
      <c r="CA386" s="1"/>
      <c r="CB386" s="1"/>
      <c r="CC386" s="1"/>
      <c r="CD386" s="1"/>
      <c r="CE386" s="1"/>
      <c r="CF386" s="1"/>
      <c r="CG386" s="1"/>
    </row>
    <row r="387" spans="1:85" ht="15.75" customHeight="1">
      <c r="A387" s="66" t="s">
        <v>693</v>
      </c>
      <c r="B387" s="114"/>
      <c r="C387" s="86" t="s">
        <v>133</v>
      </c>
      <c r="D387" s="126" t="s">
        <v>694</v>
      </c>
      <c r="E387" s="70"/>
      <c r="F387" s="71"/>
      <c r="G387" s="71">
        <f t="shared" si="1742"/>
        <v>0</v>
      </c>
      <c r="H387" s="70"/>
      <c r="I387" s="72">
        <f t="shared" si="1737"/>
        <v>0</v>
      </c>
      <c r="J387" s="72">
        <f t="shared" si="1738"/>
        <v>0</v>
      </c>
      <c r="K387" s="88"/>
      <c r="L387" s="81"/>
      <c r="M387" s="82"/>
      <c r="N387" s="73">
        <v>103929</v>
      </c>
      <c r="O387" s="77">
        <f t="shared" ref="O387:Q387" si="1792">AA387+AD387+AG387+AJ387+AM387+AP387+AS387+AV387+AY387+BB387+BE387+BH387</f>
        <v>0</v>
      </c>
      <c r="P387" s="77">
        <f t="shared" si="1792"/>
        <v>0</v>
      </c>
      <c r="Q387" s="77">
        <f t="shared" si="1792"/>
        <v>103929</v>
      </c>
      <c r="R387" s="77">
        <f t="shared" ref="R387:T387" si="1793">IF(BK387=0,SUM(AA387+AD387+AG387+AJ387+AM387+AP387+AS387+AV387+AY387+BB387+BE387+BH387),BK387)</f>
        <v>0</v>
      </c>
      <c r="S387" s="77">
        <f t="shared" si="1793"/>
        <v>0</v>
      </c>
      <c r="T387" s="77">
        <f t="shared" si="1793"/>
        <v>103929</v>
      </c>
      <c r="U387" s="79">
        <f t="shared" si="1745"/>
        <v>0</v>
      </c>
      <c r="V387" s="79">
        <f t="shared" si="1746"/>
        <v>0</v>
      </c>
      <c r="W387" s="78">
        <f t="shared" si="1747"/>
        <v>0</v>
      </c>
      <c r="X387" s="80">
        <f t="shared" ref="X387:Y387" si="1794">IF(O387&gt;0,O387/K387,0)</f>
        <v>0</v>
      </c>
      <c r="Y387" s="80">
        <f t="shared" si="1794"/>
        <v>0</v>
      </c>
      <c r="Z387" s="80">
        <f t="shared" si="1518"/>
        <v>1</v>
      </c>
      <c r="AA387" s="81"/>
      <c r="AB387" s="81"/>
      <c r="AC387" s="81"/>
      <c r="AD387" s="81"/>
      <c r="AE387" s="83"/>
      <c r="AF387" s="83"/>
      <c r="AG387" s="83"/>
      <c r="AH387" s="83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>
        <f>17760</f>
        <v>17760</v>
      </c>
      <c r="AY387" s="81"/>
      <c r="AZ387" s="81"/>
      <c r="BA387" s="81">
        <f>13992</f>
        <v>13992</v>
      </c>
      <c r="BB387" s="81"/>
      <c r="BC387" s="81"/>
      <c r="BD387" s="81">
        <f>30460</f>
        <v>30460</v>
      </c>
      <c r="BE387" s="81"/>
      <c r="BF387" s="81"/>
      <c r="BG387" s="81">
        <f>11334+30383</f>
        <v>41717</v>
      </c>
      <c r="BH387" s="81"/>
      <c r="BI387" s="81"/>
      <c r="BJ387" s="81"/>
      <c r="BK387" s="82">
        <v>0</v>
      </c>
      <c r="BL387" s="82">
        <v>0</v>
      </c>
      <c r="BM387" s="82">
        <v>103929</v>
      </c>
      <c r="BN387" s="81">
        <f t="shared" si="1749"/>
        <v>0</v>
      </c>
      <c r="BO387" s="75">
        <f t="shared" si="1750"/>
        <v>0</v>
      </c>
      <c r="BP387" s="81">
        <f t="shared" si="1751"/>
        <v>0</v>
      </c>
      <c r="BQ387" s="81">
        <f t="shared" si="1752"/>
        <v>0</v>
      </c>
      <c r="BR387" s="81">
        <f t="shared" si="1753"/>
        <v>0</v>
      </c>
      <c r="BS387" s="81">
        <f t="shared" si="1754"/>
        <v>0</v>
      </c>
      <c r="BT387" s="81">
        <f t="shared" si="1755"/>
        <v>0</v>
      </c>
      <c r="BU387" s="81">
        <f t="shared" si="1756"/>
        <v>0</v>
      </c>
      <c r="BV387" s="81">
        <f t="shared" si="1757"/>
        <v>0</v>
      </c>
      <c r="BW387" s="81">
        <f t="shared" si="1758"/>
        <v>0</v>
      </c>
      <c r="BX387" s="1"/>
      <c r="BY387" s="1"/>
      <c r="BZ387" s="1"/>
      <c r="CA387" s="1"/>
      <c r="CB387" s="1"/>
      <c r="CC387" s="1"/>
      <c r="CD387" s="1"/>
      <c r="CE387" s="1"/>
      <c r="CF387" s="1"/>
      <c r="CG387" s="1"/>
    </row>
    <row r="388" spans="1:85" ht="15.75" customHeight="1">
      <c r="A388" s="66" t="s">
        <v>695</v>
      </c>
      <c r="B388" s="114"/>
      <c r="C388" s="86" t="s">
        <v>133</v>
      </c>
      <c r="D388" s="126" t="s">
        <v>696</v>
      </c>
      <c r="E388" s="70"/>
      <c r="F388" s="71"/>
      <c r="G388" s="71">
        <f t="shared" si="1742"/>
        <v>0</v>
      </c>
      <c r="H388" s="70"/>
      <c r="I388" s="72">
        <f t="shared" si="1737"/>
        <v>0</v>
      </c>
      <c r="J388" s="72">
        <f t="shared" si="1738"/>
        <v>0</v>
      </c>
      <c r="K388" s="88"/>
      <c r="L388" s="81"/>
      <c r="M388" s="82"/>
      <c r="N388" s="73">
        <v>719.92</v>
      </c>
      <c r="O388" s="77">
        <f t="shared" ref="O388:Q388" si="1795">AA388+AD388+AG388+AJ388+AM388+AP388+AS388+AV388+AY388+BB388+BE388+BH388</f>
        <v>0</v>
      </c>
      <c r="P388" s="77">
        <f t="shared" si="1795"/>
        <v>0</v>
      </c>
      <c r="Q388" s="77">
        <f t="shared" si="1795"/>
        <v>0</v>
      </c>
      <c r="R388" s="77">
        <f t="shared" ref="R388:T388" si="1796">IF(BK388=0,SUM(AA388+AD388+AG388+AJ388+AM388+AP388+AS388+AV388+AY388+BB388+BE388+BH388),BK388)</f>
        <v>0</v>
      </c>
      <c r="S388" s="77">
        <f t="shared" si="1796"/>
        <v>0</v>
      </c>
      <c r="T388" s="77">
        <f t="shared" si="1796"/>
        <v>0</v>
      </c>
      <c r="U388" s="79">
        <f t="shared" si="1745"/>
        <v>0</v>
      </c>
      <c r="V388" s="79">
        <f t="shared" si="1746"/>
        <v>0</v>
      </c>
      <c r="W388" s="78">
        <f t="shared" si="1747"/>
        <v>719.92</v>
      </c>
      <c r="X388" s="80">
        <f t="shared" ref="X388:Y388" si="1797">IF(O388&gt;0,O388/K388,0)</f>
        <v>0</v>
      </c>
      <c r="Y388" s="80">
        <f t="shared" si="1797"/>
        <v>0</v>
      </c>
      <c r="Z388" s="80">
        <f t="shared" si="1518"/>
        <v>0</v>
      </c>
      <c r="AA388" s="81"/>
      <c r="AB388" s="81"/>
      <c r="AC388" s="81"/>
      <c r="AD388" s="81"/>
      <c r="AE388" s="83"/>
      <c r="AF388" s="83"/>
      <c r="AG388" s="83"/>
      <c r="AH388" s="83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  <c r="BE388" s="81"/>
      <c r="BF388" s="81"/>
      <c r="BG388" s="81"/>
      <c r="BH388" s="81"/>
      <c r="BI388" s="81"/>
      <c r="BJ388" s="81"/>
      <c r="BK388" s="82">
        <v>0</v>
      </c>
      <c r="BL388" s="82">
        <v>0</v>
      </c>
      <c r="BM388" s="82">
        <v>0</v>
      </c>
      <c r="BN388" s="81">
        <f t="shared" si="1749"/>
        <v>0</v>
      </c>
      <c r="BO388" s="75">
        <f t="shared" si="1750"/>
        <v>0</v>
      </c>
      <c r="BP388" s="81">
        <f t="shared" si="1751"/>
        <v>0</v>
      </c>
      <c r="BQ388" s="81">
        <f t="shared" si="1752"/>
        <v>0</v>
      </c>
      <c r="BR388" s="81">
        <f t="shared" si="1753"/>
        <v>719.92</v>
      </c>
      <c r="BS388" s="81">
        <f t="shared" si="1754"/>
        <v>719.92</v>
      </c>
      <c r="BT388" s="81">
        <f t="shared" si="1755"/>
        <v>0</v>
      </c>
      <c r="BU388" s="81">
        <f t="shared" si="1756"/>
        <v>0</v>
      </c>
      <c r="BV388" s="81">
        <f t="shared" si="1757"/>
        <v>719.92</v>
      </c>
      <c r="BW388" s="81">
        <f t="shared" si="1758"/>
        <v>719.92</v>
      </c>
      <c r="BX388" s="1"/>
      <c r="BY388" s="1"/>
      <c r="BZ388" s="1"/>
      <c r="CA388" s="1"/>
      <c r="CB388" s="1"/>
      <c r="CC388" s="1"/>
      <c r="CD388" s="1"/>
      <c r="CE388" s="1"/>
      <c r="CF388" s="1"/>
      <c r="CG388" s="1"/>
    </row>
    <row r="389" spans="1:85" ht="15.75" customHeight="1">
      <c r="A389" s="66" t="s">
        <v>697</v>
      </c>
      <c r="B389" s="114"/>
      <c r="C389" s="86" t="s">
        <v>133</v>
      </c>
      <c r="D389" s="126" t="s">
        <v>696</v>
      </c>
      <c r="E389" s="70"/>
      <c r="F389" s="71"/>
      <c r="G389" s="71">
        <f t="shared" si="1742"/>
        <v>0</v>
      </c>
      <c r="H389" s="70"/>
      <c r="I389" s="72">
        <f t="shared" si="1737"/>
        <v>0</v>
      </c>
      <c r="J389" s="72">
        <f t="shared" si="1738"/>
        <v>0</v>
      </c>
      <c r="K389" s="88"/>
      <c r="L389" s="81"/>
      <c r="M389" s="82"/>
      <c r="N389" s="73">
        <v>2942.8</v>
      </c>
      <c r="O389" s="77">
        <f t="shared" ref="O389:Q389" si="1798">AA389+AD389+AG389+AJ389+AM389+AP389+AS389+AV389+AY389+BB389+BE389+BH389</f>
        <v>0</v>
      </c>
      <c r="P389" s="77">
        <f t="shared" si="1798"/>
        <v>0</v>
      </c>
      <c r="Q389" s="77">
        <f t="shared" si="1798"/>
        <v>0</v>
      </c>
      <c r="R389" s="77">
        <f t="shared" ref="R389:T389" si="1799">IF(BK389=0,SUM(AA389+AD389+AG389+AJ389+AM389+AP389+AS389+AV389+AY389+BB389+BE389+BH389),BK389)</f>
        <v>0</v>
      </c>
      <c r="S389" s="77">
        <f t="shared" si="1799"/>
        <v>0</v>
      </c>
      <c r="T389" s="77">
        <f t="shared" si="1799"/>
        <v>0</v>
      </c>
      <c r="U389" s="79">
        <f t="shared" si="1745"/>
        <v>0</v>
      </c>
      <c r="V389" s="79">
        <f t="shared" si="1746"/>
        <v>0</v>
      </c>
      <c r="W389" s="78">
        <f t="shared" si="1747"/>
        <v>2942.8</v>
      </c>
      <c r="X389" s="80">
        <f t="shared" ref="X389:Y389" si="1800">IF(O389&gt;0,O389/K389,0)</f>
        <v>0</v>
      </c>
      <c r="Y389" s="80">
        <f t="shared" si="1800"/>
        <v>0</v>
      </c>
      <c r="Z389" s="80">
        <f t="shared" si="1518"/>
        <v>0</v>
      </c>
      <c r="AA389" s="81"/>
      <c r="AB389" s="81"/>
      <c r="AC389" s="81"/>
      <c r="AD389" s="81"/>
      <c r="AE389" s="83"/>
      <c r="AF389" s="83"/>
      <c r="AG389" s="83"/>
      <c r="AH389" s="83"/>
      <c r="AI389" s="81"/>
      <c r="AJ389" s="81"/>
      <c r="AK389" s="81"/>
      <c r="AL389" s="81"/>
      <c r="AM389" s="81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1"/>
      <c r="BE389" s="81"/>
      <c r="BF389" s="81"/>
      <c r="BG389" s="81"/>
      <c r="BH389" s="81"/>
      <c r="BI389" s="81"/>
      <c r="BJ389" s="81"/>
      <c r="BK389" s="82">
        <v>0</v>
      </c>
      <c r="BL389" s="82">
        <v>0</v>
      </c>
      <c r="BM389" s="82">
        <v>0</v>
      </c>
      <c r="BN389" s="81">
        <f t="shared" si="1749"/>
        <v>0</v>
      </c>
      <c r="BO389" s="75">
        <f t="shared" si="1750"/>
        <v>0</v>
      </c>
      <c r="BP389" s="81">
        <f t="shared" si="1751"/>
        <v>0</v>
      </c>
      <c r="BQ389" s="81">
        <f t="shared" si="1752"/>
        <v>0</v>
      </c>
      <c r="BR389" s="81">
        <f t="shared" si="1753"/>
        <v>2942.8</v>
      </c>
      <c r="BS389" s="81">
        <f t="shared" si="1754"/>
        <v>2942.8</v>
      </c>
      <c r="BT389" s="81">
        <f t="shared" si="1755"/>
        <v>0</v>
      </c>
      <c r="BU389" s="81">
        <f t="shared" si="1756"/>
        <v>0</v>
      </c>
      <c r="BV389" s="81">
        <f t="shared" si="1757"/>
        <v>2942.8</v>
      </c>
      <c r="BW389" s="81">
        <f t="shared" si="1758"/>
        <v>2942.8</v>
      </c>
      <c r="BX389" s="1"/>
      <c r="BY389" s="1"/>
      <c r="BZ389" s="1"/>
      <c r="CA389" s="1"/>
      <c r="CB389" s="1"/>
      <c r="CC389" s="1"/>
      <c r="CD389" s="1"/>
      <c r="CE389" s="1"/>
      <c r="CF389" s="1"/>
      <c r="CG389" s="1"/>
    </row>
    <row r="390" spans="1:85" ht="15.75" customHeight="1">
      <c r="A390" s="66" t="s">
        <v>698</v>
      </c>
      <c r="B390" s="114"/>
      <c r="C390" s="86" t="s">
        <v>133</v>
      </c>
      <c r="D390" s="126" t="s">
        <v>694</v>
      </c>
      <c r="E390" s="70"/>
      <c r="F390" s="71"/>
      <c r="G390" s="71">
        <f t="shared" si="1742"/>
        <v>0</v>
      </c>
      <c r="H390" s="70"/>
      <c r="I390" s="72">
        <f t="shared" si="1737"/>
        <v>0</v>
      </c>
      <c r="J390" s="72">
        <f t="shared" si="1738"/>
        <v>0</v>
      </c>
      <c r="K390" s="88"/>
      <c r="L390" s="81"/>
      <c r="M390" s="82"/>
      <c r="N390" s="88">
        <f>79525.05</f>
        <v>79525.05</v>
      </c>
      <c r="O390" s="77">
        <f t="shared" ref="O390:Q390" si="1801">AA390+AD390+AG390+AJ390+AM390+AP390+AS390+AV390+AY390+BB390+BE390+BH390</f>
        <v>0</v>
      </c>
      <c r="P390" s="77">
        <f t="shared" si="1801"/>
        <v>0</v>
      </c>
      <c r="Q390" s="77">
        <f t="shared" si="1801"/>
        <v>0</v>
      </c>
      <c r="R390" s="77">
        <f t="shared" ref="R390:T390" si="1802">IF(BK390=0,SUM(AA390+AD390+AG390+AJ390+AM390+AP390+AS390+AV390+AY390+BB390+BE390+BH390),BK390)</f>
        <v>0</v>
      </c>
      <c r="S390" s="77">
        <f t="shared" si="1802"/>
        <v>0</v>
      </c>
      <c r="T390" s="77">
        <f t="shared" si="1802"/>
        <v>0</v>
      </c>
      <c r="U390" s="79">
        <f t="shared" si="1745"/>
        <v>0</v>
      </c>
      <c r="V390" s="79">
        <f t="shared" si="1746"/>
        <v>0</v>
      </c>
      <c r="W390" s="78">
        <f t="shared" si="1747"/>
        <v>79525.05</v>
      </c>
      <c r="X390" s="80">
        <f t="shared" ref="X390:Y390" si="1803">IF(O390&gt;0,O390/K390,0)</f>
        <v>0</v>
      </c>
      <c r="Y390" s="80">
        <f t="shared" si="1803"/>
        <v>0</v>
      </c>
      <c r="Z390" s="80">
        <f t="shared" si="1518"/>
        <v>0</v>
      </c>
      <c r="AA390" s="81"/>
      <c r="AB390" s="81"/>
      <c r="AC390" s="81"/>
      <c r="AD390" s="81"/>
      <c r="AE390" s="83"/>
      <c r="AF390" s="83"/>
      <c r="AG390" s="83"/>
      <c r="AH390" s="83"/>
      <c r="AI390" s="81"/>
      <c r="AJ390" s="81"/>
      <c r="AK390" s="81"/>
      <c r="AL390" s="81"/>
      <c r="AM390" s="81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1"/>
      <c r="BE390" s="81"/>
      <c r="BF390" s="81"/>
      <c r="BG390" s="81"/>
      <c r="BH390" s="81"/>
      <c r="BI390" s="81"/>
      <c r="BJ390" s="81"/>
      <c r="BK390" s="82">
        <v>0</v>
      </c>
      <c r="BL390" s="82">
        <v>0</v>
      </c>
      <c r="BM390" s="82">
        <v>0</v>
      </c>
      <c r="BN390" s="81">
        <f t="shared" si="1749"/>
        <v>0</v>
      </c>
      <c r="BO390" s="75">
        <f t="shared" si="1750"/>
        <v>0</v>
      </c>
      <c r="BP390" s="81">
        <f t="shared" si="1751"/>
        <v>0</v>
      </c>
      <c r="BQ390" s="81">
        <f t="shared" si="1752"/>
        <v>0</v>
      </c>
      <c r="BR390" s="81">
        <f t="shared" si="1753"/>
        <v>79525.05</v>
      </c>
      <c r="BS390" s="81">
        <f t="shared" si="1754"/>
        <v>79525.05</v>
      </c>
      <c r="BT390" s="81">
        <f t="shared" si="1755"/>
        <v>0</v>
      </c>
      <c r="BU390" s="81">
        <f t="shared" si="1756"/>
        <v>0</v>
      </c>
      <c r="BV390" s="81">
        <f t="shared" si="1757"/>
        <v>79525.05</v>
      </c>
      <c r="BW390" s="81">
        <f t="shared" si="1758"/>
        <v>79525.05</v>
      </c>
      <c r="BX390" s="1"/>
      <c r="BY390" s="1"/>
      <c r="BZ390" s="1"/>
      <c r="CA390" s="1"/>
      <c r="CB390" s="1"/>
      <c r="CC390" s="1"/>
      <c r="CD390" s="1"/>
      <c r="CE390" s="1"/>
      <c r="CF390" s="1"/>
      <c r="CG390" s="1"/>
    </row>
    <row r="391" spans="1:85" ht="15.75" customHeight="1">
      <c r="A391" s="66" t="s">
        <v>699</v>
      </c>
      <c r="B391" s="114"/>
      <c r="C391" s="129" t="s">
        <v>146</v>
      </c>
      <c r="D391" s="126" t="s">
        <v>700</v>
      </c>
      <c r="E391" s="70"/>
      <c r="F391" s="71"/>
      <c r="G391" s="71">
        <f t="shared" si="1742"/>
        <v>0</v>
      </c>
      <c r="H391" s="70"/>
      <c r="I391" s="72">
        <f t="shared" si="1737"/>
        <v>0</v>
      </c>
      <c r="J391" s="72">
        <f t="shared" si="1738"/>
        <v>0</v>
      </c>
      <c r="K391" s="88"/>
      <c r="L391" s="81"/>
      <c r="M391" s="82"/>
      <c r="N391" s="88">
        <f>1201.8-168</f>
        <v>1033.8</v>
      </c>
      <c r="O391" s="77">
        <f t="shared" ref="O391:Q391" si="1804">AA391+AD391+AG391+AJ391+AM391+AP391+AS391+AV391+AY391+BB391+BE391+BH391</f>
        <v>0</v>
      </c>
      <c r="P391" s="77">
        <f t="shared" si="1804"/>
        <v>0</v>
      </c>
      <c r="Q391" s="77">
        <f t="shared" si="1804"/>
        <v>1033.8</v>
      </c>
      <c r="R391" s="77">
        <f t="shared" ref="R391:T391" si="1805">IF(BK391=0,SUM(AA391+AD391+AG391+AJ391+AM391+AP391+AS391+AV391+AY391+BB391+BE391+BH391),BK391)</f>
        <v>0</v>
      </c>
      <c r="S391" s="77">
        <f t="shared" si="1805"/>
        <v>0</v>
      </c>
      <c r="T391" s="77">
        <f t="shared" si="1805"/>
        <v>1033.8</v>
      </c>
      <c r="U391" s="79">
        <f t="shared" si="1745"/>
        <v>0</v>
      </c>
      <c r="V391" s="79">
        <f t="shared" si="1746"/>
        <v>0</v>
      </c>
      <c r="W391" s="78">
        <f t="shared" si="1747"/>
        <v>0</v>
      </c>
      <c r="X391" s="80">
        <f t="shared" ref="X391:Y391" si="1806">IF(O391&gt;0,O391/K391,0)</f>
        <v>0</v>
      </c>
      <c r="Y391" s="80">
        <f t="shared" si="1806"/>
        <v>0</v>
      </c>
      <c r="Z391" s="80">
        <f t="shared" si="1518"/>
        <v>1</v>
      </c>
      <c r="AA391" s="81"/>
      <c r="AB391" s="81"/>
      <c r="AC391" s="81"/>
      <c r="AD391" s="81"/>
      <c r="AE391" s="83"/>
      <c r="AF391" s="83"/>
      <c r="AG391" s="83"/>
      <c r="AH391" s="83"/>
      <c r="AI391" s="81"/>
      <c r="AJ391" s="81"/>
      <c r="AK391" s="81"/>
      <c r="AL391" s="81"/>
      <c r="AM391" s="81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1"/>
      <c r="BE391" s="81"/>
      <c r="BF391" s="81"/>
      <c r="BG391" s="81"/>
      <c r="BH391" s="81"/>
      <c r="BI391" s="81"/>
      <c r="BJ391" s="81">
        <f>1201.8-168</f>
        <v>1033.8</v>
      </c>
      <c r="BK391" s="82">
        <v>0</v>
      </c>
      <c r="BL391" s="82">
        <v>0</v>
      </c>
      <c r="BM391" s="82">
        <v>1033.8</v>
      </c>
      <c r="BN391" s="81">
        <f t="shared" si="1749"/>
        <v>0</v>
      </c>
      <c r="BO391" s="75">
        <f t="shared" si="1750"/>
        <v>0</v>
      </c>
      <c r="BP391" s="81">
        <f t="shared" si="1751"/>
        <v>0</v>
      </c>
      <c r="BQ391" s="81">
        <f t="shared" si="1752"/>
        <v>0</v>
      </c>
      <c r="BR391" s="81">
        <f t="shared" si="1753"/>
        <v>0</v>
      </c>
      <c r="BS391" s="81">
        <f t="shared" si="1754"/>
        <v>0</v>
      </c>
      <c r="BT391" s="81">
        <f t="shared" si="1755"/>
        <v>0</v>
      </c>
      <c r="BU391" s="81">
        <f t="shared" si="1756"/>
        <v>0</v>
      </c>
      <c r="BV391" s="81">
        <f t="shared" si="1757"/>
        <v>0</v>
      </c>
      <c r="BW391" s="81">
        <f t="shared" si="1758"/>
        <v>0</v>
      </c>
      <c r="BX391" s="1"/>
      <c r="BY391" s="1"/>
      <c r="BZ391" s="1"/>
      <c r="CA391" s="1"/>
      <c r="CB391" s="1"/>
      <c r="CC391" s="1"/>
      <c r="CD391" s="1"/>
      <c r="CE391" s="1"/>
      <c r="CF391" s="1"/>
      <c r="CG391" s="1"/>
    </row>
    <row r="392" spans="1:85" ht="15.75" customHeight="1">
      <c r="A392" s="66" t="s">
        <v>701</v>
      </c>
      <c r="B392" s="114"/>
      <c r="C392" s="86" t="s">
        <v>137</v>
      </c>
      <c r="D392" s="126" t="s">
        <v>702</v>
      </c>
      <c r="E392" s="70"/>
      <c r="F392" s="71"/>
      <c r="G392" s="71">
        <f t="shared" si="1742"/>
        <v>0</v>
      </c>
      <c r="H392" s="70"/>
      <c r="I392" s="72">
        <f t="shared" si="1737"/>
        <v>0</v>
      </c>
      <c r="J392" s="72">
        <f t="shared" si="1738"/>
        <v>0</v>
      </c>
      <c r="K392" s="88"/>
      <c r="L392" s="81"/>
      <c r="M392" s="82"/>
      <c r="N392" s="73">
        <v>168</v>
      </c>
      <c r="O392" s="77">
        <f t="shared" ref="O392:Q392" si="1807">AA392+AD392+AG392+AJ392+AM392+AP392+AS392+AV392+AY392+BB392+BE392+BH392</f>
        <v>0</v>
      </c>
      <c r="P392" s="77">
        <f t="shared" si="1807"/>
        <v>0</v>
      </c>
      <c r="Q392" s="77">
        <f t="shared" si="1807"/>
        <v>168</v>
      </c>
      <c r="R392" s="77">
        <f t="shared" ref="R392:T392" si="1808">IF(BK392=0,SUM(AA392+AD392+AG392+AJ392+AM392+AP392+AS392+AV392+AY392+BB392+BE392+BH392),BK392)</f>
        <v>0</v>
      </c>
      <c r="S392" s="77">
        <f t="shared" si="1808"/>
        <v>0</v>
      </c>
      <c r="T392" s="77">
        <f t="shared" si="1808"/>
        <v>168</v>
      </c>
      <c r="U392" s="79">
        <f t="shared" si="1745"/>
        <v>0</v>
      </c>
      <c r="V392" s="79">
        <f t="shared" si="1746"/>
        <v>0</v>
      </c>
      <c r="W392" s="78">
        <f t="shared" si="1747"/>
        <v>0</v>
      </c>
      <c r="X392" s="80">
        <f t="shared" ref="X392:Y392" si="1809">IF(O392&gt;0,O392/K392,0)</f>
        <v>0</v>
      </c>
      <c r="Y392" s="80">
        <f t="shared" si="1809"/>
        <v>0</v>
      </c>
      <c r="Z392" s="80">
        <f t="shared" si="1518"/>
        <v>1</v>
      </c>
      <c r="AA392" s="81"/>
      <c r="AB392" s="81"/>
      <c r="AC392" s="81"/>
      <c r="AD392" s="81"/>
      <c r="AE392" s="83"/>
      <c r="AF392" s="83"/>
      <c r="AG392" s="83"/>
      <c r="AH392" s="83"/>
      <c r="AI392" s="81"/>
      <c r="AJ392" s="81"/>
      <c r="AK392" s="81"/>
      <c r="AL392" s="81"/>
      <c r="AM392" s="81"/>
      <c r="AN392" s="81"/>
      <c r="AO392" s="81"/>
      <c r="AP392" s="81"/>
      <c r="AQ392" s="81"/>
      <c r="AR392" s="81"/>
      <c r="AS392" s="81"/>
      <c r="AT392" s="81"/>
      <c r="AU392" s="81"/>
      <c r="AV392" s="81"/>
      <c r="AW392" s="81"/>
      <c r="AX392" s="81"/>
      <c r="AY392" s="81"/>
      <c r="AZ392" s="81"/>
      <c r="BA392" s="81"/>
      <c r="BB392" s="81"/>
      <c r="BC392" s="81"/>
      <c r="BD392" s="81"/>
      <c r="BE392" s="81"/>
      <c r="BF392" s="81"/>
      <c r="BG392" s="81"/>
      <c r="BH392" s="81"/>
      <c r="BI392" s="81"/>
      <c r="BJ392" s="82">
        <v>168</v>
      </c>
      <c r="BK392" s="82">
        <v>0</v>
      </c>
      <c r="BL392" s="82">
        <v>0</v>
      </c>
      <c r="BM392" s="82">
        <v>168</v>
      </c>
      <c r="BN392" s="81">
        <f t="shared" si="1749"/>
        <v>0</v>
      </c>
      <c r="BO392" s="75">
        <f t="shared" si="1750"/>
        <v>0</v>
      </c>
      <c r="BP392" s="81">
        <f t="shared" si="1751"/>
        <v>0</v>
      </c>
      <c r="BQ392" s="81">
        <f t="shared" si="1752"/>
        <v>0</v>
      </c>
      <c r="BR392" s="81">
        <f t="shared" si="1753"/>
        <v>0</v>
      </c>
      <c r="BS392" s="81">
        <f t="shared" si="1754"/>
        <v>0</v>
      </c>
      <c r="BT392" s="81">
        <f t="shared" si="1755"/>
        <v>0</v>
      </c>
      <c r="BU392" s="81">
        <f t="shared" si="1756"/>
        <v>0</v>
      </c>
      <c r="BV392" s="81">
        <f t="shared" si="1757"/>
        <v>0</v>
      </c>
      <c r="BW392" s="81">
        <f t="shared" si="1758"/>
        <v>0</v>
      </c>
      <c r="BX392" s="1"/>
      <c r="BY392" s="1"/>
      <c r="BZ392" s="1"/>
      <c r="CA392" s="1"/>
      <c r="CB392" s="1"/>
      <c r="CC392" s="1"/>
      <c r="CD392" s="1"/>
      <c r="CE392" s="1"/>
      <c r="CF392" s="1"/>
      <c r="CG392" s="1"/>
    </row>
    <row r="393" spans="1:85" ht="15.75" customHeight="1">
      <c r="A393" s="84"/>
      <c r="B393" s="115" t="s">
        <v>703</v>
      </c>
      <c r="C393" s="86" t="s">
        <v>137</v>
      </c>
      <c r="D393" s="126" t="s">
        <v>704</v>
      </c>
      <c r="E393" s="70"/>
      <c r="F393" s="71"/>
      <c r="G393" s="71">
        <f t="shared" si="1742"/>
        <v>0</v>
      </c>
      <c r="H393" s="70"/>
      <c r="I393" s="72">
        <f t="shared" si="1737"/>
        <v>0</v>
      </c>
      <c r="J393" s="72">
        <f t="shared" si="1738"/>
        <v>0</v>
      </c>
      <c r="K393" s="88"/>
      <c r="L393" s="81">
        <v>1772</v>
      </c>
      <c r="M393" s="82">
        <v>1772</v>
      </c>
      <c r="N393" s="88"/>
      <c r="O393" s="77">
        <f t="shared" ref="O393:Q393" si="1810">AA393+AD393+AG393+AJ393+AM393+AP393+AS393+AV393+AY393+BB393+BE393+BH393</f>
        <v>0</v>
      </c>
      <c r="P393" s="77">
        <f t="shared" si="1810"/>
        <v>0</v>
      </c>
      <c r="Q393" s="77">
        <f t="shared" si="1810"/>
        <v>0</v>
      </c>
      <c r="R393" s="77">
        <f t="shared" ref="R393:T393" si="1811">IF(BK393=0,SUM(AA393+AD393+AG393+AJ393+AM393+AP393+AS393+AV393+AY393+BB393+BE393+BH393),BK393)</f>
        <v>0</v>
      </c>
      <c r="S393" s="77">
        <f t="shared" si="1811"/>
        <v>0</v>
      </c>
      <c r="T393" s="77">
        <f t="shared" si="1811"/>
        <v>0</v>
      </c>
      <c r="U393" s="79">
        <f t="shared" si="1745"/>
        <v>0</v>
      </c>
      <c r="V393" s="79">
        <f t="shared" si="1746"/>
        <v>0</v>
      </c>
      <c r="W393" s="79">
        <f t="shared" si="1747"/>
        <v>0</v>
      </c>
      <c r="X393" s="80">
        <f t="shared" ref="X393:Y393" si="1812">IF(O393&gt;0,O393/K393,0)</f>
        <v>0</v>
      </c>
      <c r="Y393" s="80">
        <f t="shared" si="1812"/>
        <v>0</v>
      </c>
      <c r="Z393" s="80">
        <f t="shared" si="1518"/>
        <v>0</v>
      </c>
      <c r="AA393" s="81"/>
      <c r="AB393" s="81"/>
      <c r="AC393" s="81"/>
      <c r="AD393" s="81"/>
      <c r="AE393" s="83"/>
      <c r="AF393" s="83"/>
      <c r="AG393" s="83"/>
      <c r="AH393" s="83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1"/>
      <c r="BC393" s="81"/>
      <c r="BD393" s="81"/>
      <c r="BE393" s="81"/>
      <c r="BF393" s="81"/>
      <c r="BG393" s="81"/>
      <c r="BH393" s="81"/>
      <c r="BI393" s="81"/>
      <c r="BJ393" s="81"/>
      <c r="BK393" s="82">
        <v>0</v>
      </c>
      <c r="BL393" s="82">
        <v>0</v>
      </c>
      <c r="BM393" s="82">
        <v>0</v>
      </c>
      <c r="BN393" s="81">
        <f t="shared" si="1749"/>
        <v>0</v>
      </c>
      <c r="BO393" s="75">
        <f t="shared" si="1750"/>
        <v>0</v>
      </c>
      <c r="BP393" s="81">
        <f t="shared" si="1751"/>
        <v>0</v>
      </c>
      <c r="BQ393" s="81">
        <f t="shared" si="1752"/>
        <v>0</v>
      </c>
      <c r="BR393" s="81">
        <f t="shared" si="1753"/>
        <v>0</v>
      </c>
      <c r="BS393" s="81">
        <f t="shared" si="1754"/>
        <v>0</v>
      </c>
      <c r="BT393" s="81">
        <f t="shared" si="1755"/>
        <v>0</v>
      </c>
      <c r="BU393" s="81">
        <f t="shared" si="1756"/>
        <v>0</v>
      </c>
      <c r="BV393" s="81">
        <f t="shared" si="1757"/>
        <v>0</v>
      </c>
      <c r="BW393" s="81">
        <f t="shared" si="1758"/>
        <v>0</v>
      </c>
      <c r="BX393" s="1"/>
      <c r="BY393" s="1"/>
      <c r="BZ393" s="1"/>
      <c r="CA393" s="1"/>
      <c r="CB393" s="1"/>
      <c r="CC393" s="1"/>
      <c r="CD393" s="1"/>
      <c r="CE393" s="1"/>
      <c r="CF393" s="1"/>
      <c r="CG393" s="1"/>
    </row>
    <row r="394" spans="1:85" ht="15.75">
      <c r="A394" s="270"/>
      <c r="B394" s="271"/>
      <c r="C394" s="272"/>
      <c r="D394" s="112" t="s">
        <v>224</v>
      </c>
      <c r="E394" s="286">
        <f t="shared" ref="E394:H394" si="1813">SUM(E395:E406)</f>
        <v>80000</v>
      </c>
      <c r="F394" s="286">
        <f t="shared" si="1813"/>
        <v>0</v>
      </c>
      <c r="G394" s="286">
        <f t="shared" si="1813"/>
        <v>80000</v>
      </c>
      <c r="H394" s="286">
        <f t="shared" si="1813"/>
        <v>1884944.87</v>
      </c>
      <c r="I394" s="287">
        <f t="shared" si="1737"/>
        <v>0</v>
      </c>
      <c r="J394" s="287">
        <f t="shared" si="1738"/>
        <v>0</v>
      </c>
      <c r="K394" s="286">
        <f t="shared" ref="K394:W394" si="1814">SUM(K395:K406)</f>
        <v>0</v>
      </c>
      <c r="L394" s="286">
        <f t="shared" si="1814"/>
        <v>237711.52</v>
      </c>
      <c r="M394" s="286">
        <f t="shared" si="1814"/>
        <v>0.03</v>
      </c>
      <c r="N394" s="286">
        <f t="shared" si="1814"/>
        <v>1382378.7200000002</v>
      </c>
      <c r="O394" s="286">
        <f t="shared" si="1814"/>
        <v>0</v>
      </c>
      <c r="P394" s="286">
        <f t="shared" si="1814"/>
        <v>236854.82</v>
      </c>
      <c r="Q394" s="286">
        <f t="shared" si="1814"/>
        <v>1360167.27</v>
      </c>
      <c r="R394" s="286">
        <f t="shared" si="1814"/>
        <v>0</v>
      </c>
      <c r="S394" s="286">
        <f t="shared" si="1814"/>
        <v>236854.82</v>
      </c>
      <c r="T394" s="286">
        <f t="shared" si="1814"/>
        <v>1316876.1000000001</v>
      </c>
      <c r="U394" s="286">
        <f t="shared" si="1814"/>
        <v>0</v>
      </c>
      <c r="V394" s="286">
        <f t="shared" si="1814"/>
        <v>856.67</v>
      </c>
      <c r="W394" s="286">
        <f t="shared" si="1814"/>
        <v>22211.449999999975</v>
      </c>
      <c r="X394" s="288">
        <f t="shared" ref="X394:Y394" si="1815">IF(O394&gt;0,O394/K394,0)</f>
        <v>0</v>
      </c>
      <c r="Y394" s="288">
        <f t="shared" si="1815"/>
        <v>0.99639605181944912</v>
      </c>
      <c r="Z394" s="288">
        <f t="shared" si="1518"/>
        <v>0.98393244218921416</v>
      </c>
      <c r="AA394" s="286">
        <f t="shared" ref="AA394:BW394" si="1816">SUM(AA395:AA406)</f>
        <v>0</v>
      </c>
      <c r="AB394" s="286">
        <f t="shared" si="1816"/>
        <v>0</v>
      </c>
      <c r="AC394" s="286">
        <f t="shared" si="1816"/>
        <v>0</v>
      </c>
      <c r="AD394" s="286">
        <f t="shared" si="1816"/>
        <v>0</v>
      </c>
      <c r="AE394" s="286">
        <f t="shared" si="1816"/>
        <v>149083.12</v>
      </c>
      <c r="AF394" s="286">
        <f t="shared" si="1816"/>
        <v>405.27</v>
      </c>
      <c r="AG394" s="286">
        <f t="shared" si="1816"/>
        <v>0</v>
      </c>
      <c r="AH394" s="286">
        <f t="shared" si="1816"/>
        <v>72233.37</v>
      </c>
      <c r="AI394" s="286">
        <f t="shared" si="1816"/>
        <v>85883.04</v>
      </c>
      <c r="AJ394" s="286">
        <f t="shared" si="1816"/>
        <v>0</v>
      </c>
      <c r="AK394" s="286">
        <f t="shared" si="1816"/>
        <v>15538.330000000002</v>
      </c>
      <c r="AL394" s="286">
        <f t="shared" si="1816"/>
        <v>178052.2</v>
      </c>
      <c r="AM394" s="286">
        <f t="shared" si="1816"/>
        <v>0</v>
      </c>
      <c r="AN394" s="286">
        <f t="shared" si="1816"/>
        <v>0</v>
      </c>
      <c r="AO394" s="286">
        <f t="shared" si="1816"/>
        <v>172171.56</v>
      </c>
      <c r="AP394" s="286">
        <f t="shared" si="1816"/>
        <v>0</v>
      </c>
      <c r="AQ394" s="286">
        <f t="shared" si="1816"/>
        <v>0</v>
      </c>
      <c r="AR394" s="286">
        <f t="shared" si="1816"/>
        <v>181878.91000000003</v>
      </c>
      <c r="AS394" s="286">
        <f t="shared" si="1816"/>
        <v>0</v>
      </c>
      <c r="AT394" s="286">
        <f t="shared" si="1816"/>
        <v>0</v>
      </c>
      <c r="AU394" s="286">
        <f t="shared" si="1816"/>
        <v>203978.57</v>
      </c>
      <c r="AV394" s="286">
        <f t="shared" si="1816"/>
        <v>0</v>
      </c>
      <c r="AW394" s="286">
        <f t="shared" si="1816"/>
        <v>0</v>
      </c>
      <c r="AX394" s="286">
        <f t="shared" si="1816"/>
        <v>130498.63999999998</v>
      </c>
      <c r="AY394" s="286">
        <f t="shared" si="1816"/>
        <v>0</v>
      </c>
      <c r="AZ394" s="286">
        <f t="shared" si="1816"/>
        <v>0</v>
      </c>
      <c r="BA394" s="286">
        <f t="shared" si="1816"/>
        <v>-60126.320000000014</v>
      </c>
      <c r="BB394" s="286">
        <f t="shared" si="1816"/>
        <v>0</v>
      </c>
      <c r="BC394" s="286">
        <f t="shared" si="1816"/>
        <v>0</v>
      </c>
      <c r="BD394" s="286">
        <f t="shared" si="1816"/>
        <v>109681.09</v>
      </c>
      <c r="BE394" s="286">
        <f t="shared" si="1816"/>
        <v>0</v>
      </c>
      <c r="BF394" s="286">
        <f t="shared" si="1816"/>
        <v>0</v>
      </c>
      <c r="BG394" s="286">
        <f t="shared" si="1816"/>
        <v>139345.61000000002</v>
      </c>
      <c r="BH394" s="286">
        <f t="shared" si="1816"/>
        <v>0</v>
      </c>
      <c r="BI394" s="286">
        <f t="shared" si="1816"/>
        <v>0</v>
      </c>
      <c r="BJ394" s="286">
        <f t="shared" si="1816"/>
        <v>218398.7</v>
      </c>
      <c r="BK394" s="286">
        <f t="shared" si="1816"/>
        <v>0</v>
      </c>
      <c r="BL394" s="286">
        <f t="shared" si="1816"/>
        <v>236854.82</v>
      </c>
      <c r="BM394" s="286">
        <f t="shared" si="1816"/>
        <v>1316876.1000000001</v>
      </c>
      <c r="BN394" s="286">
        <f t="shared" si="1816"/>
        <v>0</v>
      </c>
      <c r="BO394" s="286">
        <f t="shared" si="1816"/>
        <v>43291.1700000001</v>
      </c>
      <c r="BP394" s="286">
        <f t="shared" si="1816"/>
        <v>43291.1700000001</v>
      </c>
      <c r="BQ394" s="286">
        <f t="shared" si="1816"/>
        <v>0</v>
      </c>
      <c r="BR394" s="286">
        <f t="shared" si="1816"/>
        <v>22211.449999999975</v>
      </c>
      <c r="BS394" s="286">
        <f t="shared" si="1816"/>
        <v>22211.449999999975</v>
      </c>
      <c r="BT394" s="286">
        <f t="shared" si="1816"/>
        <v>856.67</v>
      </c>
      <c r="BU394" s="286">
        <f t="shared" si="1816"/>
        <v>43291.1700000001</v>
      </c>
      <c r="BV394" s="286">
        <f t="shared" si="1816"/>
        <v>22211.449999999975</v>
      </c>
      <c r="BW394" s="286">
        <f t="shared" si="1816"/>
        <v>66359.290000000066</v>
      </c>
      <c r="BX394" s="1"/>
      <c r="BY394" s="1"/>
      <c r="BZ394" s="1"/>
      <c r="CA394" s="1"/>
      <c r="CB394" s="1"/>
      <c r="CC394" s="1"/>
      <c r="CD394" s="1"/>
      <c r="CE394" s="1"/>
      <c r="CF394" s="1"/>
      <c r="CG394" s="1"/>
    </row>
    <row r="395" spans="1:85" ht="15.75" customHeight="1">
      <c r="A395" s="358" t="s">
        <v>705</v>
      </c>
      <c r="B395" s="115"/>
      <c r="C395" s="86" t="s">
        <v>225</v>
      </c>
      <c r="D395" s="211" t="s">
        <v>706</v>
      </c>
      <c r="E395" s="163"/>
      <c r="F395" s="164"/>
      <c r="G395" s="71">
        <f t="shared" ref="G395:G406" si="1817">E395-F395</f>
        <v>0</v>
      </c>
      <c r="H395" s="70">
        <v>170000</v>
      </c>
      <c r="I395" s="72">
        <f t="shared" si="1737"/>
        <v>0</v>
      </c>
      <c r="J395" s="72">
        <f t="shared" si="1738"/>
        <v>0</v>
      </c>
      <c r="K395" s="88"/>
      <c r="L395" s="81"/>
      <c r="M395" s="81"/>
      <c r="N395" s="73">
        <f>137171.52+15241.28</f>
        <v>152412.79999999999</v>
      </c>
      <c r="O395" s="77">
        <f t="shared" ref="O395:Q395" si="1818">AA395+AD395+AG395+AJ395+AM395+AP395+AS395+AV395+AY395+BB395+BE395+BH395</f>
        <v>0</v>
      </c>
      <c r="P395" s="77">
        <f t="shared" si="1818"/>
        <v>0</v>
      </c>
      <c r="Q395" s="77">
        <f t="shared" si="1818"/>
        <v>137171.52000000002</v>
      </c>
      <c r="R395" s="77">
        <f t="shared" ref="R395:T395" si="1819">IF(BK395=0,SUM(AA395+AD395+AG395+AJ395+AM395+AP395+AS395+AV395+AY395+BB395+BE395+BH395),BK395)</f>
        <v>0</v>
      </c>
      <c r="S395" s="77">
        <f t="shared" si="1819"/>
        <v>0</v>
      </c>
      <c r="T395" s="77">
        <f t="shared" si="1819"/>
        <v>133818.44</v>
      </c>
      <c r="U395" s="79">
        <f t="shared" ref="U395:U406" si="1820">K395-O395</f>
        <v>0</v>
      </c>
      <c r="V395" s="79">
        <f t="shared" ref="V395:V406" si="1821">L395-M395-S395</f>
        <v>0</v>
      </c>
      <c r="W395" s="78">
        <f t="shared" ref="W395:W406" si="1822">N395-Q395</f>
        <v>15241.27999999997</v>
      </c>
      <c r="X395" s="80">
        <f t="shared" ref="X395:Y395" si="1823">IF(O395&gt;0,O395/K395,0)</f>
        <v>0</v>
      </c>
      <c r="Y395" s="80">
        <f t="shared" si="1823"/>
        <v>0</v>
      </c>
      <c r="Z395" s="80">
        <f t="shared" si="1518"/>
        <v>0.90000000000000024</v>
      </c>
      <c r="AA395" s="81"/>
      <c r="AB395" s="81"/>
      <c r="AC395" s="81"/>
      <c r="AD395" s="81"/>
      <c r="AE395" s="83"/>
      <c r="AF395" s="83"/>
      <c r="AG395" s="83"/>
      <c r="AH395" s="83"/>
      <c r="AI395" s="81"/>
      <c r="AJ395" s="81"/>
      <c r="AK395" s="81"/>
      <c r="AL395" s="81"/>
      <c r="AM395" s="81"/>
      <c r="AN395" s="81"/>
      <c r="AO395" s="82">
        <v>15241.28</v>
      </c>
      <c r="AP395" s="81"/>
      <c r="AQ395" s="81"/>
      <c r="AR395" s="82">
        <v>15241.28</v>
      </c>
      <c r="AS395" s="81"/>
      <c r="AT395" s="81"/>
      <c r="AU395" s="82">
        <v>15241.28</v>
      </c>
      <c r="AV395" s="81"/>
      <c r="AW395" s="81"/>
      <c r="AX395" s="81">
        <f>15241.28</f>
        <v>15241.28</v>
      </c>
      <c r="AY395" s="81"/>
      <c r="AZ395" s="81"/>
      <c r="BA395" s="81">
        <f>15241.28</f>
        <v>15241.28</v>
      </c>
      <c r="BB395" s="81"/>
      <c r="BC395" s="81"/>
      <c r="BD395" s="81">
        <f>15241.28+1676.54</f>
        <v>16917.82</v>
      </c>
      <c r="BE395" s="81"/>
      <c r="BF395" s="81"/>
      <c r="BG395" s="81">
        <f>15241.28-1676.54</f>
        <v>13564.740000000002</v>
      </c>
      <c r="BH395" s="81"/>
      <c r="BI395" s="81"/>
      <c r="BJ395" s="81">
        <f>15241.28+15241.28</f>
        <v>30482.560000000001</v>
      </c>
      <c r="BK395" s="82">
        <v>0</v>
      </c>
      <c r="BL395" s="82">
        <v>0</v>
      </c>
      <c r="BM395" s="82">
        <f>137171.52-3353.08</f>
        <v>133818.44</v>
      </c>
      <c r="BN395" s="81">
        <f t="shared" ref="BN395:BN406" si="1824">IF(O395-BK395&gt;0,O395-BK395,0)</f>
        <v>0</v>
      </c>
      <c r="BO395" s="210">
        <f t="shared" ref="BO395:BO406" si="1825">IF(Q395-BM395&gt;0,Q395-BM395,0)</f>
        <v>3353.0800000000163</v>
      </c>
      <c r="BP395" s="81">
        <f t="shared" ref="BP395:BP406" si="1826">IF(BN395+BO395&gt;0,BN395+BO395,0)</f>
        <v>3353.0800000000163</v>
      </c>
      <c r="BQ395" s="81">
        <f t="shared" ref="BQ395:BQ406" si="1827">IF(U395=0,0,U395)</f>
        <v>0</v>
      </c>
      <c r="BR395" s="81">
        <f t="shared" ref="BR395:BR406" si="1828">IF(W395=0,0,W395)</f>
        <v>15241.27999999997</v>
      </c>
      <c r="BS395" s="81">
        <f t="shared" ref="BS395:BS406" si="1829">IF(BQ395+BR395&gt;0,BQ395+BR395,0)</f>
        <v>15241.27999999997</v>
      </c>
      <c r="BT395" s="81">
        <f t="shared" ref="BT395:BT406" si="1830">IF(V395&gt;0,V395,0)</f>
        <v>0</v>
      </c>
      <c r="BU395" s="81">
        <f t="shared" ref="BU395:BU406" si="1831">IF(BP395=0,0,BP395)</f>
        <v>3353.0800000000163</v>
      </c>
      <c r="BV395" s="81">
        <f t="shared" ref="BV395:BV406" si="1832">IF(BS395=0,0,BS395)</f>
        <v>15241.27999999997</v>
      </c>
      <c r="BW395" s="81">
        <f t="shared" ref="BW395:BW406" si="1833">IF(BP395+BT395+BV395&gt;0,BP395+BT395+BV395,0)</f>
        <v>18594.359999999986</v>
      </c>
      <c r="BX395" s="1"/>
      <c r="BY395" s="1"/>
      <c r="BZ395" s="1"/>
      <c r="CA395" s="1"/>
      <c r="CB395" s="1"/>
      <c r="CC395" s="1"/>
      <c r="CD395" s="1"/>
      <c r="CE395" s="1"/>
      <c r="CF395" s="1"/>
      <c r="CG395" s="1"/>
    </row>
    <row r="396" spans="1:85" ht="15.75" customHeight="1">
      <c r="A396" s="125" t="s">
        <v>707</v>
      </c>
      <c r="B396" s="115"/>
      <c r="C396" s="86" t="s">
        <v>225</v>
      </c>
      <c r="D396" s="211" t="s">
        <v>708</v>
      </c>
      <c r="E396" s="163"/>
      <c r="F396" s="164"/>
      <c r="G396" s="71">
        <f t="shared" si="1817"/>
        <v>0</v>
      </c>
      <c r="H396" s="70">
        <v>45000</v>
      </c>
      <c r="I396" s="72">
        <f t="shared" si="1737"/>
        <v>0</v>
      </c>
      <c r="J396" s="72">
        <f t="shared" si="1738"/>
        <v>0</v>
      </c>
      <c r="K396" s="88"/>
      <c r="L396" s="81"/>
      <c r="M396" s="81"/>
      <c r="N396" s="73">
        <f>38614.2+2232.58-3438.06+3536.79-3536.79</f>
        <v>37408.720000000001</v>
      </c>
      <c r="O396" s="77">
        <f t="shared" ref="O396:Q396" si="1834">AA396+AD396+AG396+AJ396+AM396+AP396+AS396+AV396+AY396+BB396+BE396+BH396</f>
        <v>0</v>
      </c>
      <c r="P396" s="77">
        <f t="shared" si="1834"/>
        <v>0</v>
      </c>
      <c r="Q396" s="77">
        <f t="shared" si="1834"/>
        <v>33871.93</v>
      </c>
      <c r="R396" s="77">
        <f t="shared" ref="R396:T396" si="1835">IF(BK396=0,SUM(AA396+AD396+AG396+AJ396+AM396+AP396+AS396+AV396+AY396+BB396+BE396+BH396),BK396)</f>
        <v>0</v>
      </c>
      <c r="S396" s="77">
        <f t="shared" si="1835"/>
        <v>0</v>
      </c>
      <c r="T396" s="77">
        <f t="shared" si="1835"/>
        <v>33093.83</v>
      </c>
      <c r="U396" s="79">
        <f t="shared" si="1820"/>
        <v>0</v>
      </c>
      <c r="V396" s="79">
        <f t="shared" si="1821"/>
        <v>0</v>
      </c>
      <c r="W396" s="78">
        <f t="shared" si="1822"/>
        <v>3536.7900000000009</v>
      </c>
      <c r="X396" s="80">
        <f t="shared" ref="X396:Y396" si="1836">IF(O396&gt;0,O396/K396,0)</f>
        <v>0</v>
      </c>
      <c r="Y396" s="80">
        <f t="shared" si="1836"/>
        <v>0</v>
      </c>
      <c r="Z396" s="80">
        <f t="shared" si="1518"/>
        <v>0.90545546599830196</v>
      </c>
      <c r="AA396" s="81"/>
      <c r="AB396" s="81"/>
      <c r="AC396" s="81"/>
      <c r="AD396" s="81"/>
      <c r="AE396" s="83"/>
      <c r="AF396" s="83"/>
      <c r="AG396" s="83"/>
      <c r="AH396" s="83"/>
      <c r="AI396" s="81"/>
      <c r="AJ396" s="81"/>
      <c r="AK396" s="81"/>
      <c r="AL396" s="82">
        <v>2359.7600000000002</v>
      </c>
      <c r="AM396" s="81"/>
      <c r="AN396" s="81"/>
      <c r="AO396" s="81"/>
      <c r="AP396" s="81"/>
      <c r="AQ396" s="81"/>
      <c r="AR396" s="82">
        <f>3217.85+3217.85</f>
        <v>6435.7</v>
      </c>
      <c r="AS396" s="81"/>
      <c r="AT396" s="81"/>
      <c r="AU396" s="81">
        <f>3217.85+637.88</f>
        <v>3855.73</v>
      </c>
      <c r="AV396" s="81"/>
      <c r="AW396" s="81"/>
      <c r="AX396" s="81">
        <f>3536.79</f>
        <v>3536.79</v>
      </c>
      <c r="AY396" s="81"/>
      <c r="AZ396" s="81"/>
      <c r="BA396" s="81">
        <f>3536.79</f>
        <v>3536.79</v>
      </c>
      <c r="BB396" s="81"/>
      <c r="BC396" s="81"/>
      <c r="BD396" s="81">
        <f>3536.79</f>
        <v>3536.79</v>
      </c>
      <c r="BE396" s="81"/>
      <c r="BF396" s="81"/>
      <c r="BG396" s="81">
        <f>3536.79</f>
        <v>3536.79</v>
      </c>
      <c r="BH396" s="81"/>
      <c r="BI396" s="81"/>
      <c r="BJ396" s="81">
        <f>3536.79+3536.79</f>
        <v>7073.58</v>
      </c>
      <c r="BK396" s="82">
        <v>0</v>
      </c>
      <c r="BL396" s="82">
        <v>0</v>
      </c>
      <c r="BM396" s="82">
        <f>33871.93-778.1</f>
        <v>33093.83</v>
      </c>
      <c r="BN396" s="81">
        <f t="shared" si="1824"/>
        <v>0</v>
      </c>
      <c r="BO396" s="210">
        <f t="shared" si="1825"/>
        <v>778.09999999999854</v>
      </c>
      <c r="BP396" s="81">
        <f t="shared" si="1826"/>
        <v>778.09999999999854</v>
      </c>
      <c r="BQ396" s="81">
        <f t="shared" si="1827"/>
        <v>0</v>
      </c>
      <c r="BR396" s="81">
        <f t="shared" si="1828"/>
        <v>3536.7900000000009</v>
      </c>
      <c r="BS396" s="81">
        <f t="shared" si="1829"/>
        <v>3536.7900000000009</v>
      </c>
      <c r="BT396" s="81">
        <f t="shared" si="1830"/>
        <v>0</v>
      </c>
      <c r="BU396" s="81">
        <f t="shared" si="1831"/>
        <v>778.09999999999854</v>
      </c>
      <c r="BV396" s="81">
        <f t="shared" si="1832"/>
        <v>3536.7900000000009</v>
      </c>
      <c r="BW396" s="81">
        <f t="shared" si="1833"/>
        <v>4314.8899999999994</v>
      </c>
      <c r="BX396" s="1"/>
      <c r="BY396" s="1"/>
      <c r="BZ396" s="1"/>
      <c r="CA396" s="1"/>
      <c r="CB396" s="1"/>
      <c r="CC396" s="1"/>
      <c r="CD396" s="1"/>
      <c r="CE396" s="1"/>
      <c r="CF396" s="1"/>
      <c r="CG396" s="1"/>
    </row>
    <row r="397" spans="1:85" ht="15.75" customHeight="1">
      <c r="A397" s="125"/>
      <c r="B397" s="358" t="s">
        <v>709</v>
      </c>
      <c r="C397" s="86" t="s">
        <v>225</v>
      </c>
      <c r="D397" s="211" t="s">
        <v>710</v>
      </c>
      <c r="E397" s="163"/>
      <c r="F397" s="164"/>
      <c r="G397" s="71">
        <f t="shared" si="1817"/>
        <v>0</v>
      </c>
      <c r="H397" s="127">
        <v>0</v>
      </c>
      <c r="I397" s="72">
        <f t="shared" si="1737"/>
        <v>0</v>
      </c>
      <c r="J397" s="72">
        <f t="shared" si="1738"/>
        <v>0</v>
      </c>
      <c r="K397" s="88"/>
      <c r="L397" s="82">
        <v>856.67</v>
      </c>
      <c r="M397" s="81"/>
      <c r="N397" s="73">
        <v>0</v>
      </c>
      <c r="O397" s="77">
        <f t="shared" ref="O397:Q397" si="1837">AA397+AD397+AG397+AJ397+AM397+AP397+AS397+AV397+AY397+BB397+BE397+BH397</f>
        <v>0</v>
      </c>
      <c r="P397" s="77">
        <f t="shared" si="1837"/>
        <v>0</v>
      </c>
      <c r="Q397" s="77">
        <f t="shared" si="1837"/>
        <v>0</v>
      </c>
      <c r="R397" s="77">
        <f t="shared" ref="R397:T397" si="1838">IF(BK397=0,SUM(AA397+AD397+AG397+AJ397+AM397+AP397+AS397+AV397+AY397+BB397+BE397+BH397),BK397)</f>
        <v>0</v>
      </c>
      <c r="S397" s="77">
        <f t="shared" si="1838"/>
        <v>0</v>
      </c>
      <c r="T397" s="77">
        <f t="shared" si="1838"/>
        <v>0</v>
      </c>
      <c r="U397" s="79">
        <f t="shared" si="1820"/>
        <v>0</v>
      </c>
      <c r="V397" s="79">
        <f t="shared" si="1821"/>
        <v>856.67</v>
      </c>
      <c r="W397" s="78">
        <f t="shared" si="1822"/>
        <v>0</v>
      </c>
      <c r="X397" s="80">
        <f t="shared" ref="X397:Y397" si="1839">IF(O397&gt;0,O397/K397,0)</f>
        <v>0</v>
      </c>
      <c r="Y397" s="80">
        <f t="shared" si="1839"/>
        <v>0</v>
      </c>
      <c r="Z397" s="80">
        <f t="shared" si="1518"/>
        <v>0</v>
      </c>
      <c r="AA397" s="81"/>
      <c r="AB397" s="81"/>
      <c r="AC397" s="81"/>
      <c r="AD397" s="81"/>
      <c r="AE397" s="83"/>
      <c r="AF397" s="83"/>
      <c r="AG397" s="83"/>
      <c r="AH397" s="83"/>
      <c r="AI397" s="82"/>
      <c r="AJ397" s="81"/>
      <c r="AK397" s="81"/>
      <c r="AL397" s="82"/>
      <c r="AM397" s="81"/>
      <c r="AN397" s="81"/>
      <c r="AO397" s="82"/>
      <c r="AP397" s="81"/>
      <c r="AQ397" s="81"/>
      <c r="AR397" s="82"/>
      <c r="AS397" s="81"/>
      <c r="AT397" s="81"/>
      <c r="AU397" s="82"/>
      <c r="AV397" s="81"/>
      <c r="AW397" s="81"/>
      <c r="AX397" s="82"/>
      <c r="AY397" s="81"/>
      <c r="AZ397" s="81"/>
      <c r="BA397" s="81"/>
      <c r="BB397" s="81"/>
      <c r="BC397" s="81"/>
      <c r="BD397" s="81"/>
      <c r="BE397" s="81"/>
      <c r="BF397" s="81"/>
      <c r="BG397" s="81"/>
      <c r="BH397" s="81"/>
      <c r="BI397" s="81"/>
      <c r="BJ397" s="81"/>
      <c r="BK397" s="82">
        <v>0</v>
      </c>
      <c r="BL397" s="82">
        <v>0</v>
      </c>
      <c r="BM397" s="82">
        <v>0</v>
      </c>
      <c r="BN397" s="81">
        <f t="shared" si="1824"/>
        <v>0</v>
      </c>
      <c r="BO397" s="210">
        <f t="shared" si="1825"/>
        <v>0</v>
      </c>
      <c r="BP397" s="81">
        <f t="shared" si="1826"/>
        <v>0</v>
      </c>
      <c r="BQ397" s="81">
        <f t="shared" si="1827"/>
        <v>0</v>
      </c>
      <c r="BR397" s="81">
        <f t="shared" si="1828"/>
        <v>0</v>
      </c>
      <c r="BS397" s="81">
        <f t="shared" si="1829"/>
        <v>0</v>
      </c>
      <c r="BT397" s="133">
        <f t="shared" si="1830"/>
        <v>856.67</v>
      </c>
      <c r="BU397" s="81">
        <f t="shared" si="1831"/>
        <v>0</v>
      </c>
      <c r="BV397" s="81">
        <f t="shared" si="1832"/>
        <v>0</v>
      </c>
      <c r="BW397" s="81">
        <f t="shared" si="1833"/>
        <v>856.67</v>
      </c>
      <c r="BX397" s="1"/>
      <c r="BY397" s="1"/>
      <c r="BZ397" s="1"/>
      <c r="CA397" s="1"/>
      <c r="CB397" s="1"/>
      <c r="CC397" s="1"/>
      <c r="CD397" s="1"/>
      <c r="CE397" s="1"/>
      <c r="CF397" s="1"/>
      <c r="CG397" s="1"/>
    </row>
    <row r="398" spans="1:85" ht="15.75" customHeight="1">
      <c r="A398" s="125" t="s">
        <v>711</v>
      </c>
      <c r="B398" s="358"/>
      <c r="C398" s="86" t="s">
        <v>225</v>
      </c>
      <c r="D398" s="211" t="s">
        <v>712</v>
      </c>
      <c r="E398" s="163"/>
      <c r="F398" s="164"/>
      <c r="G398" s="71">
        <f t="shared" si="1817"/>
        <v>0</v>
      </c>
      <c r="H398" s="70">
        <v>300000</v>
      </c>
      <c r="I398" s="72">
        <f t="shared" si="1737"/>
        <v>0</v>
      </c>
      <c r="J398" s="72">
        <f t="shared" si="1738"/>
        <v>0</v>
      </c>
      <c r="K398" s="88"/>
      <c r="L398" s="81"/>
      <c r="M398" s="81"/>
      <c r="N398" s="73">
        <f>44389.9+192455.76+52326.7</f>
        <v>289172.36</v>
      </c>
      <c r="O398" s="77">
        <f t="shared" ref="O398:Q398" si="1840">AA398+AD398+AG398+AJ398+AM398+AP398+AS398+AV398+AY398+BB398+BE398+BH398</f>
        <v>0</v>
      </c>
      <c r="P398" s="77">
        <f t="shared" si="1840"/>
        <v>0</v>
      </c>
      <c r="Q398" s="77">
        <f t="shared" si="1840"/>
        <v>289172.36</v>
      </c>
      <c r="R398" s="77">
        <f t="shared" ref="R398:T398" si="1841">IF(BK398=0,SUM(AA398+AD398+AG398+AJ398+AM398+AP398+AS398+AV398+AY398+BB398+BE398+BH398),BK398)</f>
        <v>0</v>
      </c>
      <c r="S398" s="77">
        <f t="shared" si="1841"/>
        <v>0</v>
      </c>
      <c r="T398" s="77">
        <f t="shared" si="1841"/>
        <v>283085.95999999996</v>
      </c>
      <c r="U398" s="79">
        <f t="shared" si="1820"/>
        <v>0</v>
      </c>
      <c r="V398" s="79">
        <f t="shared" si="1821"/>
        <v>0</v>
      </c>
      <c r="W398" s="78">
        <f t="shared" si="1822"/>
        <v>0</v>
      </c>
      <c r="X398" s="80">
        <f t="shared" ref="X398:Y398" si="1842">IF(O398&gt;0,O398/K398,0)</f>
        <v>0</v>
      </c>
      <c r="Y398" s="80">
        <f t="shared" si="1842"/>
        <v>0</v>
      </c>
      <c r="Z398" s="80">
        <f t="shared" si="1518"/>
        <v>1</v>
      </c>
      <c r="AA398" s="81"/>
      <c r="AB398" s="81"/>
      <c r="AC398" s="81"/>
      <c r="AD398" s="81"/>
      <c r="AE398" s="83"/>
      <c r="AF398" s="83"/>
      <c r="AG398" s="83"/>
      <c r="AH398" s="83"/>
      <c r="AI398" s="82">
        <v>3775.98</v>
      </c>
      <c r="AJ398" s="81"/>
      <c r="AK398" s="81"/>
      <c r="AL398" s="82">
        <v>23306.959999999999</v>
      </c>
      <c r="AM398" s="81"/>
      <c r="AN398" s="81"/>
      <c r="AO398" s="82">
        <v>23306.959999999999</v>
      </c>
      <c r="AP398" s="81"/>
      <c r="AQ398" s="81"/>
      <c r="AR398" s="82">
        <v>23306.959999999999</v>
      </c>
      <c r="AS398" s="81"/>
      <c r="AT398" s="81"/>
      <c r="AU398" s="82">
        <v>23306.959999999999</v>
      </c>
      <c r="AV398" s="81"/>
      <c r="AW398" s="81"/>
      <c r="AX398" s="82">
        <f>23306.96+1977.25</f>
        <v>25284.21</v>
      </c>
      <c r="AY398" s="81"/>
      <c r="AZ398" s="81"/>
      <c r="BA398" s="81">
        <f>23306.96</f>
        <v>23306.959999999999</v>
      </c>
      <c r="BB398" s="81"/>
      <c r="BC398" s="81"/>
      <c r="BD398" s="81">
        <f>23306.96+2563.77</f>
        <v>25870.73</v>
      </c>
      <c r="BE398" s="81"/>
      <c r="BF398" s="81"/>
      <c r="BG398" s="81">
        <f>37274.12+27665.43-2563.77</f>
        <v>62375.780000000006</v>
      </c>
      <c r="BH398" s="81"/>
      <c r="BI398" s="81"/>
      <c r="BJ398" s="81">
        <f>27665.43+27665.43</f>
        <v>55330.86</v>
      </c>
      <c r="BK398" s="82">
        <v>0</v>
      </c>
      <c r="BL398" s="82">
        <v>0</v>
      </c>
      <c r="BM398" s="82">
        <f>289172.36-6086.4</f>
        <v>283085.95999999996</v>
      </c>
      <c r="BN398" s="81">
        <f t="shared" si="1824"/>
        <v>0</v>
      </c>
      <c r="BO398" s="210">
        <f t="shared" si="1825"/>
        <v>6086.4000000000233</v>
      </c>
      <c r="BP398" s="81">
        <f t="shared" si="1826"/>
        <v>6086.4000000000233</v>
      </c>
      <c r="BQ398" s="81">
        <f t="shared" si="1827"/>
        <v>0</v>
      </c>
      <c r="BR398" s="81">
        <f t="shared" si="1828"/>
        <v>0</v>
      </c>
      <c r="BS398" s="81">
        <f t="shared" si="1829"/>
        <v>0</v>
      </c>
      <c r="BT398" s="81">
        <f t="shared" si="1830"/>
        <v>0</v>
      </c>
      <c r="BU398" s="81">
        <f t="shared" si="1831"/>
        <v>6086.4000000000233</v>
      </c>
      <c r="BV398" s="81">
        <f t="shared" si="1832"/>
        <v>0</v>
      </c>
      <c r="BW398" s="81">
        <f t="shared" si="1833"/>
        <v>6086.4000000000233</v>
      </c>
      <c r="BX398" s="1"/>
      <c r="BY398" s="1"/>
      <c r="BZ398" s="1"/>
      <c r="CA398" s="1"/>
      <c r="CB398" s="1"/>
      <c r="CC398" s="1"/>
      <c r="CD398" s="1"/>
      <c r="CE398" s="1"/>
      <c r="CF398" s="1"/>
      <c r="CG398" s="1"/>
    </row>
    <row r="399" spans="1:85" ht="15.75" customHeight="1">
      <c r="A399" s="134" t="s">
        <v>713</v>
      </c>
      <c r="B399" s="359" t="s">
        <v>714</v>
      </c>
      <c r="C399" s="86" t="s">
        <v>228</v>
      </c>
      <c r="D399" s="360" t="s">
        <v>715</v>
      </c>
      <c r="E399" s="163"/>
      <c r="F399" s="163"/>
      <c r="G399" s="70">
        <f t="shared" si="1817"/>
        <v>0</v>
      </c>
      <c r="H399" s="70">
        <v>689944.87</v>
      </c>
      <c r="I399" s="187">
        <f t="shared" si="1737"/>
        <v>0</v>
      </c>
      <c r="J399" s="187">
        <f t="shared" si="1738"/>
        <v>0</v>
      </c>
      <c r="K399" s="73"/>
      <c r="L399" s="88">
        <v>80361.09</v>
      </c>
      <c r="M399" s="88"/>
      <c r="N399" s="73">
        <f>137547.75+55940.43-157988.95</f>
        <v>35499.229999999981</v>
      </c>
      <c r="O399" s="79">
        <f t="shared" ref="O399:Q399" si="1843">AA399+AD399+AG399+AJ399+AM399+AP399+AS399+AV399+AY399+BB399+BE399+BH399</f>
        <v>0</v>
      </c>
      <c r="P399" s="79">
        <f t="shared" si="1843"/>
        <v>80361.09</v>
      </c>
      <c r="Q399" s="79">
        <f t="shared" si="1843"/>
        <v>35499.229999999981</v>
      </c>
      <c r="R399" s="79">
        <f t="shared" ref="R399:T399" si="1844">IF(BK399=0,SUM(AA399+AD399+AG399+AJ399+AM399+AP399+AS399+AV399+AY399+BB399+BE399+BH399),BK399)</f>
        <v>0</v>
      </c>
      <c r="S399" s="79">
        <f t="shared" si="1844"/>
        <v>80361.09</v>
      </c>
      <c r="T399" s="79">
        <f t="shared" si="1844"/>
        <v>35499.230000000003</v>
      </c>
      <c r="U399" s="79">
        <f t="shared" si="1820"/>
        <v>0</v>
      </c>
      <c r="V399" s="79">
        <f t="shared" si="1821"/>
        <v>0</v>
      </c>
      <c r="W399" s="79">
        <f t="shared" si="1822"/>
        <v>0</v>
      </c>
      <c r="X399" s="188">
        <f t="shared" ref="X399:Y399" si="1845">IF(O399&gt;0,O399/K399,0)</f>
        <v>0</v>
      </c>
      <c r="Y399" s="188">
        <f t="shared" si="1845"/>
        <v>1</v>
      </c>
      <c r="Z399" s="188">
        <f t="shared" si="1518"/>
        <v>1</v>
      </c>
      <c r="AA399" s="88"/>
      <c r="AB399" s="88"/>
      <c r="AC399" s="88"/>
      <c r="AD399" s="88"/>
      <c r="AE399" s="245">
        <v>34109.4</v>
      </c>
      <c r="AF399" s="189"/>
      <c r="AG399" s="189"/>
      <c r="AH399" s="245">
        <v>34109.4</v>
      </c>
      <c r="AI399" s="73"/>
      <c r="AJ399" s="88"/>
      <c r="AK399" s="73">
        <v>12142.29</v>
      </c>
      <c r="AL399" s="73">
        <v>35499.230000000003</v>
      </c>
      <c r="AM399" s="88"/>
      <c r="AN399" s="88"/>
      <c r="AO399" s="73">
        <v>51024.26</v>
      </c>
      <c r="AP399" s="88"/>
      <c r="AQ399" s="88"/>
      <c r="AR399" s="73">
        <v>51024.26</v>
      </c>
      <c r="AS399" s="88"/>
      <c r="AT399" s="88"/>
      <c r="AU399" s="73">
        <v>55940.43</v>
      </c>
      <c r="AV399" s="88"/>
      <c r="AW399" s="88"/>
      <c r="AX399" s="88"/>
      <c r="AY399" s="88"/>
      <c r="AZ399" s="88"/>
      <c r="BA399" s="73">
        <f>-51024.26-51024.26-55940.43</f>
        <v>-157988.95000000001</v>
      </c>
      <c r="BB399" s="88"/>
      <c r="BC399" s="88"/>
      <c r="BD399" s="88"/>
      <c r="BE399" s="88"/>
      <c r="BF399" s="88"/>
      <c r="BG399" s="88"/>
      <c r="BH399" s="88"/>
      <c r="BI399" s="88"/>
      <c r="BJ399" s="88"/>
      <c r="BK399" s="82">
        <v>0</v>
      </c>
      <c r="BL399" s="82">
        <v>80361.09</v>
      </c>
      <c r="BM399" s="82">
        <v>35499.230000000003</v>
      </c>
      <c r="BN399" s="81">
        <f t="shared" si="1824"/>
        <v>0</v>
      </c>
      <c r="BO399" s="75">
        <f t="shared" si="1825"/>
        <v>0</v>
      </c>
      <c r="BP399" s="81">
        <f t="shared" si="1826"/>
        <v>0</v>
      </c>
      <c r="BQ399" s="81">
        <f t="shared" si="1827"/>
        <v>0</v>
      </c>
      <c r="BR399" s="81">
        <f t="shared" si="1828"/>
        <v>0</v>
      </c>
      <c r="BS399" s="81">
        <f t="shared" si="1829"/>
        <v>0</v>
      </c>
      <c r="BT399" s="81">
        <f t="shared" si="1830"/>
        <v>0</v>
      </c>
      <c r="BU399" s="81">
        <f t="shared" si="1831"/>
        <v>0</v>
      </c>
      <c r="BV399" s="81">
        <f t="shared" si="1832"/>
        <v>0</v>
      </c>
      <c r="BW399" s="81">
        <f t="shared" si="1833"/>
        <v>0</v>
      </c>
      <c r="BX399" s="190"/>
      <c r="BY399" s="190"/>
      <c r="BZ399" s="190"/>
      <c r="CA399" s="190"/>
      <c r="CB399" s="190"/>
      <c r="CC399" s="190"/>
      <c r="CD399" s="190"/>
      <c r="CE399" s="190"/>
      <c r="CF399" s="190"/>
      <c r="CG399" s="190"/>
    </row>
    <row r="400" spans="1:85" ht="15.75" customHeight="1">
      <c r="A400" s="282" t="s">
        <v>716</v>
      </c>
      <c r="B400" s="85" t="s">
        <v>717</v>
      </c>
      <c r="C400" s="86" t="s">
        <v>246</v>
      </c>
      <c r="D400" s="126" t="s">
        <v>718</v>
      </c>
      <c r="E400" s="70"/>
      <c r="F400" s="71"/>
      <c r="G400" s="71">
        <f t="shared" si="1817"/>
        <v>0</v>
      </c>
      <c r="H400" s="70">
        <v>0</v>
      </c>
      <c r="I400" s="72">
        <f t="shared" si="1737"/>
        <v>0</v>
      </c>
      <c r="J400" s="72">
        <f t="shared" si="1738"/>
        <v>0</v>
      </c>
      <c r="K400" s="88"/>
      <c r="L400" s="81">
        <v>77562.759999999995</v>
      </c>
      <c r="M400" s="82">
        <v>0.03</v>
      </c>
      <c r="N400" s="73">
        <f>35303.38-537.65</f>
        <v>34765.729999999996</v>
      </c>
      <c r="O400" s="77">
        <f t="shared" ref="O400:Q400" si="1846">AA400+AD400+AG400+AJ400+AM400+AP400+AS400+AV400+AY400+BB400+BE400+BH400</f>
        <v>0</v>
      </c>
      <c r="P400" s="77">
        <f t="shared" si="1846"/>
        <v>77562.73</v>
      </c>
      <c r="Q400" s="77">
        <f t="shared" si="1846"/>
        <v>34765.730000000003</v>
      </c>
      <c r="R400" s="77">
        <f t="shared" ref="R400:T400" si="1847">IF(BK400=0,SUM(AA400+AD400+AG400+AJ400+AM400+AP400+AS400+AV400+AY400+BB400+BE400+BH400),BK400)</f>
        <v>0</v>
      </c>
      <c r="S400" s="77">
        <f t="shared" si="1847"/>
        <v>77562.73</v>
      </c>
      <c r="T400" s="77">
        <f t="shared" si="1847"/>
        <v>34765.730000000003</v>
      </c>
      <c r="U400" s="79">
        <f t="shared" si="1820"/>
        <v>0</v>
      </c>
      <c r="V400" s="79">
        <f t="shared" si="1821"/>
        <v>0</v>
      </c>
      <c r="W400" s="78">
        <f t="shared" si="1822"/>
        <v>0</v>
      </c>
      <c r="X400" s="80">
        <f t="shared" ref="X400:Y400" si="1848">IF(O400&gt;0,O400/K400,0)</f>
        <v>0</v>
      </c>
      <c r="Y400" s="80">
        <f t="shared" si="1848"/>
        <v>0.99999961321644559</v>
      </c>
      <c r="Z400" s="80">
        <f t="shared" si="1518"/>
        <v>1.0000000000000002</v>
      </c>
      <c r="AA400" s="81"/>
      <c r="AB400" s="81"/>
      <c r="AC400" s="81"/>
      <c r="AD400" s="81"/>
      <c r="AE400" s="128">
        <v>36042.720000000001</v>
      </c>
      <c r="AF400" s="83"/>
      <c r="AG400" s="83"/>
      <c r="AH400" s="82">
        <v>38123.97</v>
      </c>
      <c r="AI400" s="82"/>
      <c r="AJ400" s="81"/>
      <c r="AK400" s="82">
        <v>3396.04</v>
      </c>
      <c r="AL400" s="82">
        <v>34765.730000000003</v>
      </c>
      <c r="AM400" s="81"/>
      <c r="AN400" s="81"/>
      <c r="AO400" s="81"/>
      <c r="AP400" s="81"/>
      <c r="AQ400" s="81"/>
      <c r="AR400" s="81"/>
      <c r="AS400" s="81"/>
      <c r="AT400" s="81"/>
      <c r="AU400" s="81"/>
      <c r="AV400" s="81"/>
      <c r="AW400" s="81"/>
      <c r="AX400" s="81"/>
      <c r="AY400" s="81"/>
      <c r="AZ400" s="81"/>
      <c r="BA400" s="81"/>
      <c r="BB400" s="81"/>
      <c r="BC400" s="81"/>
      <c r="BD400" s="81"/>
      <c r="BE400" s="81"/>
      <c r="BF400" s="81"/>
      <c r="BG400" s="81"/>
      <c r="BH400" s="81"/>
      <c r="BI400" s="81"/>
      <c r="BJ400" s="81"/>
      <c r="BK400" s="82">
        <v>0</v>
      </c>
      <c r="BL400" s="82">
        <v>77562.73</v>
      </c>
      <c r="BM400" s="82">
        <v>34765.730000000003</v>
      </c>
      <c r="BN400" s="81">
        <f t="shared" si="1824"/>
        <v>0</v>
      </c>
      <c r="BO400" s="75">
        <f t="shared" si="1825"/>
        <v>0</v>
      </c>
      <c r="BP400" s="81">
        <f t="shared" si="1826"/>
        <v>0</v>
      </c>
      <c r="BQ400" s="81">
        <f t="shared" si="1827"/>
        <v>0</v>
      </c>
      <c r="BR400" s="81">
        <f t="shared" si="1828"/>
        <v>0</v>
      </c>
      <c r="BS400" s="81">
        <f t="shared" si="1829"/>
        <v>0</v>
      </c>
      <c r="BT400" s="81">
        <f t="shared" si="1830"/>
        <v>0</v>
      </c>
      <c r="BU400" s="81">
        <f t="shared" si="1831"/>
        <v>0</v>
      </c>
      <c r="BV400" s="81">
        <f t="shared" si="1832"/>
        <v>0</v>
      </c>
      <c r="BW400" s="81">
        <f t="shared" si="1833"/>
        <v>0</v>
      </c>
      <c r="BX400" s="1"/>
      <c r="BY400" s="1"/>
      <c r="BZ400" s="1"/>
      <c r="CA400" s="1"/>
      <c r="CB400" s="1"/>
      <c r="CC400" s="1"/>
      <c r="CD400" s="1"/>
      <c r="CE400" s="1"/>
      <c r="CF400" s="1"/>
      <c r="CG400" s="1"/>
    </row>
    <row r="401" spans="1:85" ht="15.75" customHeight="1">
      <c r="A401" s="282" t="s">
        <v>719</v>
      </c>
      <c r="B401" s="85"/>
      <c r="C401" s="129" t="s">
        <v>225</v>
      </c>
      <c r="D401" s="126" t="s">
        <v>720</v>
      </c>
      <c r="E401" s="70"/>
      <c r="F401" s="71"/>
      <c r="G401" s="71">
        <f t="shared" si="1817"/>
        <v>0</v>
      </c>
      <c r="H401" s="70">
        <v>0</v>
      </c>
      <c r="I401" s="72">
        <f t="shared" si="1737"/>
        <v>0</v>
      </c>
      <c r="J401" s="72">
        <f t="shared" si="1738"/>
        <v>0</v>
      </c>
      <c r="K401" s="73"/>
      <c r="L401" s="81"/>
      <c r="M401" s="81"/>
      <c r="N401" s="73">
        <v>30210.99</v>
      </c>
      <c r="O401" s="77">
        <f t="shared" ref="O401:Q401" si="1849">AA401+AD401+AG401+AJ401+AM401+AP401+AS401+AV401+AY401+BB401+BE401+BH401</f>
        <v>0</v>
      </c>
      <c r="P401" s="77">
        <f t="shared" si="1849"/>
        <v>0</v>
      </c>
      <c r="Q401" s="77">
        <f t="shared" si="1849"/>
        <v>29624.21</v>
      </c>
      <c r="R401" s="77">
        <f t="shared" ref="R401:T401" si="1850">IF(BK401=0,SUM(AA401+AD401+AG401+AJ401+AM401+AP401+AS401+AV401+AY401+BB401+BE401+BH401),BK401)</f>
        <v>0</v>
      </c>
      <c r="S401" s="77">
        <f t="shared" si="1850"/>
        <v>0</v>
      </c>
      <c r="T401" s="77">
        <f t="shared" si="1850"/>
        <v>28543.16</v>
      </c>
      <c r="U401" s="78">
        <f t="shared" si="1820"/>
        <v>0</v>
      </c>
      <c r="V401" s="79">
        <f t="shared" si="1821"/>
        <v>0</v>
      </c>
      <c r="W401" s="78">
        <f t="shared" si="1822"/>
        <v>586.78000000000247</v>
      </c>
      <c r="X401" s="80">
        <f t="shared" ref="X401:Y401" si="1851">IF(O401&gt;0,O401/K401,0)</f>
        <v>0</v>
      </c>
      <c r="Y401" s="80">
        <f t="shared" si="1851"/>
        <v>0</v>
      </c>
      <c r="Z401" s="80">
        <f t="shared" si="1518"/>
        <v>0.98057726674961654</v>
      </c>
      <c r="AA401" s="81"/>
      <c r="AB401" s="81"/>
      <c r="AC401" s="81"/>
      <c r="AD401" s="81"/>
      <c r="AE401" s="128"/>
      <c r="AF401" s="83"/>
      <c r="AG401" s="83"/>
      <c r="AH401" s="83"/>
      <c r="AI401" s="81"/>
      <c r="AJ401" s="81"/>
      <c r="AK401" s="81"/>
      <c r="AL401" s="81"/>
      <c r="AM401" s="82"/>
      <c r="AN401" s="81"/>
      <c r="AO401" s="81"/>
      <c r="AP401" s="81"/>
      <c r="AQ401" s="81"/>
      <c r="AR401" s="81"/>
      <c r="AS401" s="81"/>
      <c r="AT401" s="81"/>
      <c r="AU401" s="81"/>
      <c r="AV401" s="81"/>
      <c r="AW401" s="81"/>
      <c r="AX401" s="81"/>
      <c r="AY401" s="81"/>
      <c r="AZ401" s="81"/>
      <c r="BA401" s="81">
        <f>3067.13+3176.17+3367.41</f>
        <v>9610.7099999999991</v>
      </c>
      <c r="BB401" s="81"/>
      <c r="BC401" s="81"/>
      <c r="BD401" s="82">
        <f>3433.38+3318.94+365.08</f>
        <v>7117.4</v>
      </c>
      <c r="BE401" s="133"/>
      <c r="BF401" s="81"/>
      <c r="BG401" s="82">
        <f>-365.08+3433.38</f>
        <v>3068.3</v>
      </c>
      <c r="BH401" s="81"/>
      <c r="BI401" s="81"/>
      <c r="BJ401" s="81">
        <f>3660.66+3775.1+2392.04</f>
        <v>9827.7999999999993</v>
      </c>
      <c r="BK401" s="82">
        <v>0</v>
      </c>
      <c r="BL401" s="82">
        <v>0</v>
      </c>
      <c r="BM401" s="82">
        <f>29624.21-1081.05</f>
        <v>28543.16</v>
      </c>
      <c r="BN401" s="81">
        <f t="shared" si="1824"/>
        <v>0</v>
      </c>
      <c r="BO401" s="210">
        <f t="shared" si="1825"/>
        <v>1081.0499999999993</v>
      </c>
      <c r="BP401" s="81">
        <f t="shared" si="1826"/>
        <v>1081.0499999999993</v>
      </c>
      <c r="BQ401" s="81">
        <f t="shared" si="1827"/>
        <v>0</v>
      </c>
      <c r="BR401" s="81">
        <f t="shared" si="1828"/>
        <v>586.78000000000247</v>
      </c>
      <c r="BS401" s="81">
        <f t="shared" si="1829"/>
        <v>586.78000000000247</v>
      </c>
      <c r="BT401" s="81">
        <f t="shared" si="1830"/>
        <v>0</v>
      </c>
      <c r="BU401" s="81">
        <f t="shared" si="1831"/>
        <v>1081.0499999999993</v>
      </c>
      <c r="BV401" s="81">
        <f t="shared" si="1832"/>
        <v>586.78000000000247</v>
      </c>
      <c r="BW401" s="81">
        <f t="shared" si="1833"/>
        <v>1667.8300000000017</v>
      </c>
      <c r="BX401" s="1"/>
      <c r="BY401" s="1"/>
      <c r="BZ401" s="1"/>
      <c r="CA401" s="1"/>
      <c r="CB401" s="1"/>
      <c r="CC401" s="1"/>
      <c r="CD401" s="1"/>
      <c r="CE401" s="1"/>
      <c r="CF401" s="1"/>
      <c r="CG401" s="1"/>
    </row>
    <row r="402" spans="1:85" ht="15.75" customHeight="1">
      <c r="A402" s="134" t="s">
        <v>721</v>
      </c>
      <c r="B402" s="132"/>
      <c r="C402" s="86" t="s">
        <v>225</v>
      </c>
      <c r="D402" s="211" t="s">
        <v>722</v>
      </c>
      <c r="E402" s="70">
        <v>80000</v>
      </c>
      <c r="F402" s="164"/>
      <c r="G402" s="71">
        <f t="shared" si="1817"/>
        <v>80000</v>
      </c>
      <c r="H402" s="70">
        <v>0</v>
      </c>
      <c r="I402" s="72">
        <f t="shared" si="1737"/>
        <v>0</v>
      </c>
      <c r="J402" s="72">
        <f t="shared" si="1738"/>
        <v>0</v>
      </c>
      <c r="K402" s="73"/>
      <c r="L402" s="81"/>
      <c r="M402" s="81"/>
      <c r="N402" s="73">
        <f>25409.36+4801.63-17166.9-9610.71+5389.41+586.78-3129.59</f>
        <v>6279.9800000000014</v>
      </c>
      <c r="O402" s="77">
        <f t="shared" ref="O402:Q402" si="1852">AA402+AD402+AG402+AJ402+AM402+AP402+AS402+AV402+AY402+BB402+BE402+BH402</f>
        <v>0</v>
      </c>
      <c r="P402" s="77">
        <f t="shared" si="1852"/>
        <v>0</v>
      </c>
      <c r="Q402" s="77">
        <f t="shared" si="1852"/>
        <v>3433.380000000001</v>
      </c>
      <c r="R402" s="77">
        <f t="shared" ref="R402:T402" si="1853">IF(BK402=0,SUM(AA402+AD402+AG402+AJ402+AM402+AP402+AS402+AV402+AY402+BB402+BE402+BH402),BK402)</f>
        <v>0</v>
      </c>
      <c r="S402" s="77">
        <f t="shared" si="1853"/>
        <v>0</v>
      </c>
      <c r="T402" s="77">
        <f t="shared" si="1853"/>
        <v>3433.38</v>
      </c>
      <c r="U402" s="79">
        <f t="shared" si="1820"/>
        <v>0</v>
      </c>
      <c r="V402" s="79">
        <f t="shared" si="1821"/>
        <v>0</v>
      </c>
      <c r="W402" s="78">
        <f t="shared" si="1822"/>
        <v>2846.6000000000004</v>
      </c>
      <c r="X402" s="80">
        <f t="shared" ref="X402:Y402" si="1854">IF(O402&gt;0,O402/K402,0)</f>
        <v>0</v>
      </c>
      <c r="Y402" s="80">
        <f t="shared" si="1854"/>
        <v>0</v>
      </c>
      <c r="Z402" s="80">
        <f t="shared" si="1518"/>
        <v>0.54671830165064228</v>
      </c>
      <c r="AA402" s="81"/>
      <c r="AB402" s="82"/>
      <c r="AC402" s="81"/>
      <c r="AD402" s="81"/>
      <c r="AE402" s="128"/>
      <c r="AF402" s="83"/>
      <c r="AG402" s="83"/>
      <c r="AH402" s="82"/>
      <c r="AI402" s="82"/>
      <c r="AJ402" s="81"/>
      <c r="AK402" s="82"/>
      <c r="AL402" s="81"/>
      <c r="AM402" s="81"/>
      <c r="AN402" s="82"/>
      <c r="AO402" s="81"/>
      <c r="AP402" s="81"/>
      <c r="AQ402" s="82"/>
      <c r="AR402" s="81">
        <f>3176.17+3067.13-5434.97+2258.8</f>
        <v>3067.13</v>
      </c>
      <c r="AS402" s="81"/>
      <c r="AT402" s="81"/>
      <c r="AU402" s="81">
        <f>3176.17+3367.41</f>
        <v>6543.58</v>
      </c>
      <c r="AV402" s="81"/>
      <c r="AW402" s="81"/>
      <c r="AX402" s="81">
        <f>3433.38</f>
        <v>3433.38</v>
      </c>
      <c r="AY402" s="81"/>
      <c r="AZ402" s="81"/>
      <c r="BA402" s="81">
        <f>-3067.13-3176.17-3367.41</f>
        <v>-9610.7099999999991</v>
      </c>
      <c r="BB402" s="81"/>
      <c r="BC402" s="81"/>
      <c r="BD402" s="81"/>
      <c r="BE402" s="81"/>
      <c r="BF402" s="81"/>
      <c r="BG402" s="81"/>
      <c r="BH402" s="81"/>
      <c r="BI402" s="81"/>
      <c r="BJ402" s="81"/>
      <c r="BK402" s="82">
        <v>0</v>
      </c>
      <c r="BL402" s="82">
        <v>0</v>
      </c>
      <c r="BM402" s="82">
        <v>3433.38</v>
      </c>
      <c r="BN402" s="81">
        <f t="shared" si="1824"/>
        <v>0</v>
      </c>
      <c r="BO402" s="75">
        <f t="shared" si="1825"/>
        <v>9.0949470177292824E-13</v>
      </c>
      <c r="BP402" s="81">
        <f t="shared" si="1826"/>
        <v>9.0949470177292824E-13</v>
      </c>
      <c r="BQ402" s="81">
        <f t="shared" si="1827"/>
        <v>0</v>
      </c>
      <c r="BR402" s="81">
        <f t="shared" si="1828"/>
        <v>2846.6000000000004</v>
      </c>
      <c r="BS402" s="81">
        <f t="shared" si="1829"/>
        <v>2846.6000000000004</v>
      </c>
      <c r="BT402" s="81">
        <f t="shared" si="1830"/>
        <v>0</v>
      </c>
      <c r="BU402" s="81">
        <f t="shared" si="1831"/>
        <v>9.0949470177292824E-13</v>
      </c>
      <c r="BV402" s="81">
        <f t="shared" si="1832"/>
        <v>2846.6000000000004</v>
      </c>
      <c r="BW402" s="81">
        <f t="shared" si="1833"/>
        <v>2846.6000000000013</v>
      </c>
      <c r="BX402" s="1"/>
      <c r="BY402" s="1"/>
      <c r="BZ402" s="1"/>
      <c r="CA402" s="1"/>
      <c r="CB402" s="1"/>
      <c r="CC402" s="1"/>
      <c r="CD402" s="1"/>
      <c r="CE402" s="1"/>
      <c r="CF402" s="1"/>
      <c r="CG402" s="1"/>
    </row>
    <row r="403" spans="1:85" ht="15.75" customHeight="1">
      <c r="A403" s="282"/>
      <c r="B403" s="132" t="s">
        <v>723</v>
      </c>
      <c r="C403" s="86" t="s">
        <v>225</v>
      </c>
      <c r="D403" s="292" t="s">
        <v>724</v>
      </c>
      <c r="E403" s="70"/>
      <c r="F403" s="71"/>
      <c r="G403" s="71">
        <f t="shared" si="1817"/>
        <v>0</v>
      </c>
      <c r="H403" s="70">
        <v>0</v>
      </c>
      <c r="I403" s="72">
        <f t="shared" si="1737"/>
        <v>0</v>
      </c>
      <c r="J403" s="72">
        <f t="shared" si="1738"/>
        <v>0</v>
      </c>
      <c r="K403" s="73"/>
      <c r="L403" s="81">
        <v>40891</v>
      </c>
      <c r="M403" s="81"/>
      <c r="N403" s="73"/>
      <c r="O403" s="77">
        <f t="shared" ref="O403:Q403" si="1855">AA403+AD403+AG403+AJ403+AM403+AP403+AS403+AV403+AY403+BB403+BE403+BH403</f>
        <v>0</v>
      </c>
      <c r="P403" s="77">
        <f t="shared" si="1855"/>
        <v>40891</v>
      </c>
      <c r="Q403" s="77">
        <f t="shared" si="1855"/>
        <v>0</v>
      </c>
      <c r="R403" s="77">
        <f t="shared" ref="R403:T403" si="1856">IF(BK403=0,SUM(AA403+AD403+AG403+AJ403+AM403+AP403+AS403+AV403+AY403+BB403+BE403+BH403),BK403)</f>
        <v>0</v>
      </c>
      <c r="S403" s="77">
        <f t="shared" si="1856"/>
        <v>40891</v>
      </c>
      <c r="T403" s="77">
        <f t="shared" si="1856"/>
        <v>0</v>
      </c>
      <c r="U403" s="79">
        <f t="shared" si="1820"/>
        <v>0</v>
      </c>
      <c r="V403" s="79">
        <f t="shared" si="1821"/>
        <v>0</v>
      </c>
      <c r="W403" s="79">
        <f t="shared" si="1822"/>
        <v>0</v>
      </c>
      <c r="X403" s="80">
        <f t="shared" ref="X403:Y403" si="1857">IF(O403&gt;0,O403/K403,0)</f>
        <v>0</v>
      </c>
      <c r="Y403" s="80">
        <f t="shared" si="1857"/>
        <v>1</v>
      </c>
      <c r="Z403" s="80">
        <f t="shared" si="1518"/>
        <v>0</v>
      </c>
      <c r="AA403" s="81"/>
      <c r="AB403" s="81"/>
      <c r="AC403" s="81"/>
      <c r="AD403" s="81"/>
      <c r="AE403" s="128">
        <v>40891</v>
      </c>
      <c r="AF403" s="83"/>
      <c r="AG403" s="83"/>
      <c r="AH403" s="83"/>
      <c r="AI403" s="81"/>
      <c r="AJ403" s="81"/>
      <c r="AK403" s="81"/>
      <c r="AL403" s="81"/>
      <c r="AM403" s="82"/>
      <c r="AN403" s="81"/>
      <c r="AO403" s="81"/>
      <c r="AP403" s="81"/>
      <c r="AQ403" s="81"/>
      <c r="AR403" s="81"/>
      <c r="AS403" s="81"/>
      <c r="AT403" s="81"/>
      <c r="AU403" s="81"/>
      <c r="AV403" s="81"/>
      <c r="AW403" s="81"/>
      <c r="AX403" s="81"/>
      <c r="AY403" s="81"/>
      <c r="AZ403" s="81"/>
      <c r="BA403" s="81"/>
      <c r="BB403" s="81"/>
      <c r="BC403" s="81"/>
      <c r="BD403" s="81"/>
      <c r="BE403" s="81"/>
      <c r="BF403" s="81"/>
      <c r="BG403" s="81"/>
      <c r="BH403" s="81"/>
      <c r="BI403" s="81"/>
      <c r="BJ403" s="81"/>
      <c r="BK403" s="82">
        <v>0</v>
      </c>
      <c r="BL403" s="82">
        <v>40891</v>
      </c>
      <c r="BM403" s="82">
        <v>0</v>
      </c>
      <c r="BN403" s="81">
        <f t="shared" si="1824"/>
        <v>0</v>
      </c>
      <c r="BO403" s="75">
        <f t="shared" si="1825"/>
        <v>0</v>
      </c>
      <c r="BP403" s="81">
        <f t="shared" si="1826"/>
        <v>0</v>
      </c>
      <c r="BQ403" s="81">
        <f t="shared" si="1827"/>
        <v>0</v>
      </c>
      <c r="BR403" s="81">
        <f t="shared" si="1828"/>
        <v>0</v>
      </c>
      <c r="BS403" s="81">
        <f t="shared" si="1829"/>
        <v>0</v>
      </c>
      <c r="BT403" s="81">
        <f t="shared" si="1830"/>
        <v>0</v>
      </c>
      <c r="BU403" s="81">
        <f t="shared" si="1831"/>
        <v>0</v>
      </c>
      <c r="BV403" s="81">
        <f t="shared" si="1832"/>
        <v>0</v>
      </c>
      <c r="BW403" s="81">
        <f t="shared" si="1833"/>
        <v>0</v>
      </c>
      <c r="BX403" s="1"/>
      <c r="BY403" s="1"/>
      <c r="BZ403" s="1"/>
      <c r="CA403" s="1"/>
      <c r="CB403" s="1"/>
      <c r="CC403" s="1"/>
      <c r="CD403" s="1"/>
      <c r="CE403" s="1"/>
      <c r="CF403" s="1"/>
      <c r="CG403" s="1"/>
    </row>
    <row r="404" spans="1:85" ht="15.75" customHeight="1">
      <c r="A404" s="282" t="s">
        <v>725</v>
      </c>
      <c r="B404" s="146" t="s">
        <v>243</v>
      </c>
      <c r="C404" s="86" t="s">
        <v>234</v>
      </c>
      <c r="D404" s="292" t="s">
        <v>726</v>
      </c>
      <c r="E404" s="70"/>
      <c r="F404" s="71"/>
      <c r="G404" s="71">
        <f t="shared" si="1817"/>
        <v>0</v>
      </c>
      <c r="H404" s="70">
        <v>0</v>
      </c>
      <c r="I404" s="72">
        <f t="shared" si="1737"/>
        <v>0</v>
      </c>
      <c r="J404" s="72">
        <f t="shared" si="1738"/>
        <v>0</v>
      </c>
      <c r="K404" s="73"/>
      <c r="L404" s="81">
        <v>38040</v>
      </c>
      <c r="M404" s="81"/>
      <c r="N404" s="73">
        <v>405.27</v>
      </c>
      <c r="O404" s="77">
        <f t="shared" ref="O404:Q404" si="1858">AA404+AD404+AG404+AJ404+AM404+AP404+AS404+AV404+AY404+BB404+BE404+BH404</f>
        <v>0</v>
      </c>
      <c r="P404" s="77">
        <f t="shared" si="1858"/>
        <v>38040</v>
      </c>
      <c r="Q404" s="77">
        <f t="shared" si="1858"/>
        <v>405.27</v>
      </c>
      <c r="R404" s="77">
        <f t="shared" ref="R404:T404" si="1859">IF(BK404=0,SUM(AA404+AD404+AG404+AJ404+AM404+AP404+AS404+AV404+AY404+BB404+BE404+BH404),BK404)</f>
        <v>0</v>
      </c>
      <c r="S404" s="77">
        <f t="shared" si="1859"/>
        <v>38040</v>
      </c>
      <c r="T404" s="77">
        <f t="shared" si="1859"/>
        <v>405.27</v>
      </c>
      <c r="U404" s="79">
        <f t="shared" si="1820"/>
        <v>0</v>
      </c>
      <c r="V404" s="79">
        <f t="shared" si="1821"/>
        <v>0</v>
      </c>
      <c r="W404" s="79">
        <f t="shared" si="1822"/>
        <v>0</v>
      </c>
      <c r="X404" s="80">
        <f t="shared" ref="X404:Y404" si="1860">IF(O404&gt;0,O404/K404,0)</f>
        <v>0</v>
      </c>
      <c r="Y404" s="80">
        <f t="shared" si="1860"/>
        <v>1</v>
      </c>
      <c r="Z404" s="80">
        <f t="shared" si="1518"/>
        <v>1</v>
      </c>
      <c r="AA404" s="81"/>
      <c r="AB404" s="81"/>
      <c r="AC404" s="81"/>
      <c r="AD404" s="81"/>
      <c r="AE404" s="128">
        <v>38040</v>
      </c>
      <c r="AF404" s="128">
        <v>405.27</v>
      </c>
      <c r="AG404" s="83"/>
      <c r="AH404" s="83"/>
      <c r="AI404" s="81"/>
      <c r="AJ404" s="81"/>
      <c r="AK404" s="81"/>
      <c r="AL404" s="81"/>
      <c r="AM404" s="81"/>
      <c r="AN404" s="81"/>
      <c r="AO404" s="81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1"/>
      <c r="BE404" s="81"/>
      <c r="BF404" s="81"/>
      <c r="BG404" s="81"/>
      <c r="BH404" s="81"/>
      <c r="BI404" s="81"/>
      <c r="BJ404" s="81"/>
      <c r="BK404" s="82">
        <v>0</v>
      </c>
      <c r="BL404" s="82">
        <v>38040</v>
      </c>
      <c r="BM404" s="82">
        <v>405.27</v>
      </c>
      <c r="BN404" s="81">
        <f t="shared" si="1824"/>
        <v>0</v>
      </c>
      <c r="BO404" s="75">
        <f t="shared" si="1825"/>
        <v>0</v>
      </c>
      <c r="BP404" s="81">
        <f t="shared" si="1826"/>
        <v>0</v>
      </c>
      <c r="BQ404" s="81">
        <f t="shared" si="1827"/>
        <v>0</v>
      </c>
      <c r="BR404" s="81">
        <f t="shared" si="1828"/>
        <v>0</v>
      </c>
      <c r="BS404" s="81">
        <f t="shared" si="1829"/>
        <v>0</v>
      </c>
      <c r="BT404" s="81">
        <f t="shared" si="1830"/>
        <v>0</v>
      </c>
      <c r="BU404" s="81">
        <f t="shared" si="1831"/>
        <v>0</v>
      </c>
      <c r="BV404" s="81">
        <f t="shared" si="1832"/>
        <v>0</v>
      </c>
      <c r="BW404" s="81">
        <f t="shared" si="1833"/>
        <v>0</v>
      </c>
      <c r="BX404" s="1"/>
      <c r="BY404" s="1"/>
      <c r="BZ404" s="1"/>
      <c r="CA404" s="1"/>
      <c r="CB404" s="1"/>
      <c r="CC404" s="1"/>
      <c r="CD404" s="1"/>
      <c r="CE404" s="1"/>
      <c r="CF404" s="1"/>
      <c r="CG404" s="1"/>
    </row>
    <row r="405" spans="1:85" ht="15.75" customHeight="1">
      <c r="A405" s="358" t="s">
        <v>727</v>
      </c>
      <c r="B405" s="115"/>
      <c r="C405" s="86" t="s">
        <v>728</v>
      </c>
      <c r="D405" s="126" t="s">
        <v>729</v>
      </c>
      <c r="E405" s="70"/>
      <c r="F405" s="71"/>
      <c r="G405" s="71">
        <f t="shared" si="1817"/>
        <v>0</v>
      </c>
      <c r="H405" s="70">
        <v>680000</v>
      </c>
      <c r="I405" s="72">
        <f t="shared" si="1737"/>
        <v>0</v>
      </c>
      <c r="J405" s="72">
        <f t="shared" si="1738"/>
        <v>0</v>
      </c>
      <c r="K405" s="73"/>
      <c r="L405" s="81"/>
      <c r="M405" s="81"/>
      <c r="N405" s="73">
        <f>83610.78+418053.9+10059.11</f>
        <v>511723.79000000004</v>
      </c>
      <c r="O405" s="77">
        <f t="shared" ref="O405:Q405" si="1861">AA405+AD405+AG405+AJ405+AM405+AP405+AS405+AV405+AY405+BB405+BE405+BH405</f>
        <v>0</v>
      </c>
      <c r="P405" s="77">
        <f t="shared" si="1861"/>
        <v>0</v>
      </c>
      <c r="Q405" s="77">
        <f t="shared" si="1861"/>
        <v>511723.79000000004</v>
      </c>
      <c r="R405" s="77">
        <f t="shared" ref="R405:T405" si="1862">IF(BK405=0,SUM(AA405+AD405+AG405+AJ405+AM405+AP405+AS405+AV405+AY405+BB405+BE405+BH405),BK405)</f>
        <v>0</v>
      </c>
      <c r="S405" s="77">
        <f t="shared" si="1862"/>
        <v>0</v>
      </c>
      <c r="T405" s="77">
        <f t="shared" si="1862"/>
        <v>511723.79</v>
      </c>
      <c r="U405" s="79">
        <f t="shared" si="1820"/>
        <v>0</v>
      </c>
      <c r="V405" s="79">
        <f t="shared" si="1821"/>
        <v>0</v>
      </c>
      <c r="W405" s="78">
        <f t="shared" si="1822"/>
        <v>0</v>
      </c>
      <c r="X405" s="80">
        <f t="shared" ref="X405:Y405" si="1863">IF(O405&gt;0,O405/K405,0)</f>
        <v>0</v>
      </c>
      <c r="Y405" s="80">
        <f t="shared" si="1863"/>
        <v>0</v>
      </c>
      <c r="Z405" s="80">
        <f t="shared" si="1518"/>
        <v>1</v>
      </c>
      <c r="AA405" s="81"/>
      <c r="AB405" s="81"/>
      <c r="AC405" s="81"/>
      <c r="AD405" s="81"/>
      <c r="AE405" s="83"/>
      <c r="AF405" s="83"/>
      <c r="AG405" s="83"/>
      <c r="AH405" s="83"/>
      <c r="AI405" s="82">
        <v>82107.06</v>
      </c>
      <c r="AJ405" s="81"/>
      <c r="AK405" s="81"/>
      <c r="AL405" s="82">
        <f>80616.8+1503.72</f>
        <v>82120.52</v>
      </c>
      <c r="AM405" s="81"/>
      <c r="AN405" s="81"/>
      <c r="AO405" s="82">
        <v>82599.06</v>
      </c>
      <c r="AP405" s="81"/>
      <c r="AQ405" s="81"/>
      <c r="AR405" s="82">
        <v>82803.58</v>
      </c>
      <c r="AS405" s="81"/>
      <c r="AT405" s="81"/>
      <c r="AU405" s="81">
        <f>10429.2+82308.58+6352.81</f>
        <v>99090.59</v>
      </c>
      <c r="AV405" s="81"/>
      <c r="AW405" s="81"/>
      <c r="AX405" s="81">
        <f>72943.87+10059.11</f>
        <v>83002.98</v>
      </c>
      <c r="AY405" s="81"/>
      <c r="AZ405" s="81"/>
      <c r="BA405" s="81"/>
      <c r="BB405" s="81"/>
      <c r="BC405" s="81"/>
      <c r="BD405" s="81"/>
      <c r="BE405" s="81"/>
      <c r="BF405" s="81"/>
      <c r="BG405" s="81"/>
      <c r="BH405" s="81"/>
      <c r="BI405" s="81"/>
      <c r="BJ405" s="81"/>
      <c r="BK405" s="82">
        <v>0</v>
      </c>
      <c r="BL405" s="82">
        <v>0</v>
      </c>
      <c r="BM405" s="82">
        <v>511723.79</v>
      </c>
      <c r="BN405" s="81">
        <f t="shared" si="1824"/>
        <v>0</v>
      </c>
      <c r="BO405" s="75">
        <f t="shared" si="1825"/>
        <v>5.8207660913467407E-11</v>
      </c>
      <c r="BP405" s="81">
        <f t="shared" si="1826"/>
        <v>5.8207660913467407E-11</v>
      </c>
      <c r="BQ405" s="81">
        <f t="shared" si="1827"/>
        <v>0</v>
      </c>
      <c r="BR405" s="81">
        <f t="shared" si="1828"/>
        <v>0</v>
      </c>
      <c r="BS405" s="81">
        <f t="shared" si="1829"/>
        <v>0</v>
      </c>
      <c r="BT405" s="81">
        <f t="shared" si="1830"/>
        <v>0</v>
      </c>
      <c r="BU405" s="81">
        <f t="shared" si="1831"/>
        <v>5.8207660913467407E-11</v>
      </c>
      <c r="BV405" s="81">
        <f t="shared" si="1832"/>
        <v>0</v>
      </c>
      <c r="BW405" s="81">
        <f t="shared" si="1833"/>
        <v>5.8207660913467407E-11</v>
      </c>
      <c r="BX405" s="1"/>
      <c r="BY405" s="1"/>
      <c r="BZ405" s="1"/>
      <c r="CA405" s="1"/>
      <c r="CB405" s="1"/>
      <c r="CC405" s="1"/>
      <c r="CD405" s="1"/>
      <c r="CE405" s="1"/>
      <c r="CF405" s="1"/>
      <c r="CG405" s="1"/>
    </row>
    <row r="406" spans="1:85" ht="15.75" customHeight="1">
      <c r="A406" s="134" t="s">
        <v>730</v>
      </c>
      <c r="B406" s="132"/>
      <c r="C406" s="129" t="s">
        <v>728</v>
      </c>
      <c r="D406" s="126" t="s">
        <v>731</v>
      </c>
      <c r="E406" s="70"/>
      <c r="F406" s="71"/>
      <c r="G406" s="71">
        <f t="shared" si="1817"/>
        <v>0</v>
      </c>
      <c r="H406" s="70"/>
      <c r="I406" s="72">
        <f t="shared" si="1737"/>
        <v>0</v>
      </c>
      <c r="J406" s="72">
        <f t="shared" si="1738"/>
        <v>0</v>
      </c>
      <c r="K406" s="88"/>
      <c r="L406" s="81"/>
      <c r="M406" s="81"/>
      <c r="N406" s="73">
        <f>284000+3625.95-3126.1</f>
        <v>284499.85000000003</v>
      </c>
      <c r="O406" s="77">
        <f t="shared" ref="O406:Q406" si="1864">AA406+AD406+AG406+AJ406+AM406+AP406+AS406+AV406+AY406+BB406+BE406+BH406</f>
        <v>0</v>
      </c>
      <c r="P406" s="77">
        <f t="shared" si="1864"/>
        <v>0</v>
      </c>
      <c r="Q406" s="77">
        <f t="shared" si="1864"/>
        <v>284499.84999999998</v>
      </c>
      <c r="R406" s="77">
        <f t="shared" ref="R406:T406" si="1865">IF(BK406=0,SUM(AA406+AD406+AG406+AJ406+AM406+AP406+AS406+AV406+AY406+BB406+BE406+BH406),BK406)</f>
        <v>0</v>
      </c>
      <c r="S406" s="77">
        <f t="shared" si="1865"/>
        <v>0</v>
      </c>
      <c r="T406" s="77">
        <f t="shared" si="1865"/>
        <v>252507.30999999997</v>
      </c>
      <c r="U406" s="79">
        <f t="shared" si="1820"/>
        <v>0</v>
      </c>
      <c r="V406" s="79">
        <f t="shared" si="1821"/>
        <v>0</v>
      </c>
      <c r="W406" s="78">
        <f t="shared" si="1822"/>
        <v>0</v>
      </c>
      <c r="X406" s="80">
        <f t="shared" ref="X406:Y406" si="1866">IF(O406&gt;0,O406/K406,0)</f>
        <v>0</v>
      </c>
      <c r="Y406" s="80">
        <f t="shared" si="1866"/>
        <v>0</v>
      </c>
      <c r="Z406" s="80">
        <f t="shared" si="1518"/>
        <v>0.99999999999999978</v>
      </c>
      <c r="AA406" s="81"/>
      <c r="AB406" s="81"/>
      <c r="AC406" s="81"/>
      <c r="AD406" s="81"/>
      <c r="AE406" s="83"/>
      <c r="AF406" s="83"/>
      <c r="AG406" s="83"/>
      <c r="AH406" s="83"/>
      <c r="AI406" s="81"/>
      <c r="AJ406" s="81"/>
      <c r="AK406" s="81"/>
      <c r="AL406" s="81"/>
      <c r="AM406" s="81"/>
      <c r="AN406" s="81"/>
      <c r="AO406" s="81"/>
      <c r="AP406" s="81"/>
      <c r="AQ406" s="81"/>
      <c r="AR406" s="81"/>
      <c r="AS406" s="81"/>
      <c r="AT406" s="81"/>
      <c r="AU406" s="81"/>
      <c r="AV406" s="81"/>
      <c r="AW406" s="81"/>
      <c r="AX406" s="81"/>
      <c r="AY406" s="81"/>
      <c r="AZ406" s="81"/>
      <c r="BA406" s="81">
        <f>55777.6</f>
        <v>55777.599999999999</v>
      </c>
      <c r="BB406" s="81"/>
      <c r="BC406" s="81"/>
      <c r="BD406" s="81">
        <f>56238.35</f>
        <v>56238.35</v>
      </c>
      <c r="BE406" s="81"/>
      <c r="BF406" s="81"/>
      <c r="BG406" s="81">
        <f>56800</f>
        <v>56800</v>
      </c>
      <c r="BH406" s="81"/>
      <c r="BI406" s="81"/>
      <c r="BJ406" s="81">
        <f>57841.9+57842</f>
        <v>115683.9</v>
      </c>
      <c r="BK406" s="82">
        <v>0</v>
      </c>
      <c r="BL406" s="82">
        <v>0</v>
      </c>
      <c r="BM406" s="82">
        <f>284499.85-31992.54</f>
        <v>252507.30999999997</v>
      </c>
      <c r="BN406" s="81">
        <f t="shared" si="1824"/>
        <v>0</v>
      </c>
      <c r="BO406" s="210">
        <f t="shared" si="1825"/>
        <v>31992.540000000008</v>
      </c>
      <c r="BP406" s="81">
        <f t="shared" si="1826"/>
        <v>31992.540000000008</v>
      </c>
      <c r="BQ406" s="81">
        <f t="shared" si="1827"/>
        <v>0</v>
      </c>
      <c r="BR406" s="81">
        <f t="shared" si="1828"/>
        <v>0</v>
      </c>
      <c r="BS406" s="81">
        <f t="shared" si="1829"/>
        <v>0</v>
      </c>
      <c r="BT406" s="81">
        <f t="shared" si="1830"/>
        <v>0</v>
      </c>
      <c r="BU406" s="81">
        <f t="shared" si="1831"/>
        <v>31992.540000000008</v>
      </c>
      <c r="BV406" s="81">
        <f t="shared" si="1832"/>
        <v>0</v>
      </c>
      <c r="BW406" s="81">
        <f t="shared" si="1833"/>
        <v>31992.540000000008</v>
      </c>
      <c r="BX406" s="1"/>
      <c r="BY406" s="1"/>
      <c r="BZ406" s="1"/>
      <c r="CA406" s="1"/>
      <c r="CB406" s="1"/>
      <c r="CC406" s="1"/>
      <c r="CD406" s="1"/>
      <c r="CE406" s="1"/>
      <c r="CF406" s="1"/>
      <c r="CG406" s="1"/>
    </row>
    <row r="407" spans="1:85" ht="15.75">
      <c r="A407" s="109"/>
      <c r="B407" s="110"/>
      <c r="C407" s="111"/>
      <c r="D407" s="112" t="s">
        <v>251</v>
      </c>
      <c r="E407" s="58">
        <f t="shared" ref="E407:H407" si="1867">SUM(E408:E415)</f>
        <v>0</v>
      </c>
      <c r="F407" s="58">
        <f t="shared" si="1867"/>
        <v>0</v>
      </c>
      <c r="G407" s="58">
        <f t="shared" si="1867"/>
        <v>0</v>
      </c>
      <c r="H407" s="58">
        <f t="shared" si="1867"/>
        <v>405000</v>
      </c>
      <c r="I407" s="60">
        <f t="shared" si="1737"/>
        <v>0</v>
      </c>
      <c r="J407" s="60">
        <f t="shared" si="1738"/>
        <v>0</v>
      </c>
      <c r="K407" s="58">
        <f t="shared" ref="K407:W407" si="1868">SUM(K408:K415)</f>
        <v>0</v>
      </c>
      <c r="L407" s="58">
        <f t="shared" si="1868"/>
        <v>355142.67000000004</v>
      </c>
      <c r="M407" s="58">
        <f t="shared" si="1868"/>
        <v>36107.410000000003</v>
      </c>
      <c r="N407" s="58">
        <f t="shared" si="1868"/>
        <v>19158.5</v>
      </c>
      <c r="O407" s="58">
        <f t="shared" si="1868"/>
        <v>0</v>
      </c>
      <c r="P407" s="58">
        <f t="shared" si="1868"/>
        <v>319035.26</v>
      </c>
      <c r="Q407" s="58">
        <f t="shared" si="1868"/>
        <v>15654.05</v>
      </c>
      <c r="R407" s="58">
        <f t="shared" si="1868"/>
        <v>0</v>
      </c>
      <c r="S407" s="58">
        <f t="shared" si="1868"/>
        <v>319035.26</v>
      </c>
      <c r="T407" s="58">
        <f t="shared" si="1868"/>
        <v>9.9999999999999995E-7</v>
      </c>
      <c r="U407" s="58">
        <f t="shared" si="1868"/>
        <v>0</v>
      </c>
      <c r="V407" s="58">
        <f t="shared" si="1868"/>
        <v>0</v>
      </c>
      <c r="W407" s="58">
        <f t="shared" si="1868"/>
        <v>3504.4500000000007</v>
      </c>
      <c r="X407" s="63">
        <f t="shared" ref="X407:Y407" si="1869">IF(O407&gt;0,O407/K407,0)</f>
        <v>0</v>
      </c>
      <c r="Y407" s="63">
        <f t="shared" si="1869"/>
        <v>0.89832984586166442</v>
      </c>
      <c r="Z407" s="63">
        <f t="shared" si="1518"/>
        <v>0.81708119111621469</v>
      </c>
      <c r="AA407" s="58">
        <f t="shared" ref="AA407:BW407" si="1870">SUM(AA408:AA415)</f>
        <v>0</v>
      </c>
      <c r="AB407" s="58">
        <f t="shared" si="1870"/>
        <v>49035.380000000005</v>
      </c>
      <c r="AC407" s="58">
        <f t="shared" si="1870"/>
        <v>0</v>
      </c>
      <c r="AD407" s="58">
        <f t="shared" si="1870"/>
        <v>0</v>
      </c>
      <c r="AE407" s="58">
        <f t="shared" si="1870"/>
        <v>7384.63</v>
      </c>
      <c r="AF407" s="58">
        <f t="shared" si="1870"/>
        <v>0</v>
      </c>
      <c r="AG407" s="58">
        <f t="shared" si="1870"/>
        <v>0</v>
      </c>
      <c r="AH407" s="58">
        <f t="shared" si="1870"/>
        <v>10064.76</v>
      </c>
      <c r="AI407" s="58">
        <f t="shared" si="1870"/>
        <v>0</v>
      </c>
      <c r="AJ407" s="58">
        <f t="shared" si="1870"/>
        <v>0</v>
      </c>
      <c r="AK407" s="58">
        <f t="shared" si="1870"/>
        <v>0</v>
      </c>
      <c r="AL407" s="58">
        <f t="shared" si="1870"/>
        <v>0</v>
      </c>
      <c r="AM407" s="58">
        <f t="shared" si="1870"/>
        <v>0</v>
      </c>
      <c r="AN407" s="58">
        <f t="shared" si="1870"/>
        <v>10971.97</v>
      </c>
      <c r="AO407" s="58">
        <f t="shared" si="1870"/>
        <v>0</v>
      </c>
      <c r="AP407" s="58">
        <f t="shared" si="1870"/>
        <v>0</v>
      </c>
      <c r="AQ407" s="58">
        <f t="shared" si="1870"/>
        <v>0</v>
      </c>
      <c r="AR407" s="58">
        <f t="shared" si="1870"/>
        <v>0</v>
      </c>
      <c r="AS407" s="58">
        <f t="shared" si="1870"/>
        <v>0</v>
      </c>
      <c r="AT407" s="58">
        <f t="shared" si="1870"/>
        <v>0</v>
      </c>
      <c r="AU407" s="58">
        <f t="shared" si="1870"/>
        <v>0</v>
      </c>
      <c r="AV407" s="58">
        <f t="shared" si="1870"/>
        <v>0</v>
      </c>
      <c r="AW407" s="58">
        <f t="shared" si="1870"/>
        <v>0</v>
      </c>
      <c r="AX407" s="58">
        <f t="shared" si="1870"/>
        <v>0</v>
      </c>
      <c r="AY407" s="58">
        <f t="shared" si="1870"/>
        <v>0</v>
      </c>
      <c r="AZ407" s="58">
        <f t="shared" si="1870"/>
        <v>69394.929999999993</v>
      </c>
      <c r="BA407" s="58">
        <f t="shared" si="1870"/>
        <v>0</v>
      </c>
      <c r="BB407" s="58">
        <f t="shared" si="1870"/>
        <v>0</v>
      </c>
      <c r="BC407" s="58">
        <f t="shared" si="1870"/>
        <v>0</v>
      </c>
      <c r="BD407" s="58">
        <f t="shared" si="1870"/>
        <v>0</v>
      </c>
      <c r="BE407" s="58">
        <f t="shared" si="1870"/>
        <v>0</v>
      </c>
      <c r="BF407" s="58">
        <f t="shared" si="1870"/>
        <v>0</v>
      </c>
      <c r="BG407" s="58">
        <f t="shared" si="1870"/>
        <v>0</v>
      </c>
      <c r="BH407" s="58">
        <f t="shared" si="1870"/>
        <v>0</v>
      </c>
      <c r="BI407" s="58">
        <f t="shared" si="1870"/>
        <v>172183.59</v>
      </c>
      <c r="BJ407" s="58">
        <f t="shared" si="1870"/>
        <v>15654.05</v>
      </c>
      <c r="BK407" s="58">
        <f t="shared" si="1870"/>
        <v>0</v>
      </c>
      <c r="BL407" s="58">
        <f t="shared" si="1870"/>
        <v>319035.26</v>
      </c>
      <c r="BM407" s="58">
        <f t="shared" si="1870"/>
        <v>9.9999999999999995E-7</v>
      </c>
      <c r="BN407" s="58">
        <f t="shared" si="1870"/>
        <v>0</v>
      </c>
      <c r="BO407" s="58">
        <f t="shared" si="1870"/>
        <v>15654.049998999999</v>
      </c>
      <c r="BP407" s="58">
        <f t="shared" si="1870"/>
        <v>15654.049998999999</v>
      </c>
      <c r="BQ407" s="58">
        <f t="shared" si="1870"/>
        <v>0</v>
      </c>
      <c r="BR407" s="58">
        <f t="shared" si="1870"/>
        <v>3504.4500000000007</v>
      </c>
      <c r="BS407" s="58">
        <f t="shared" si="1870"/>
        <v>3504.4500000000007</v>
      </c>
      <c r="BT407" s="58">
        <f t="shared" si="1870"/>
        <v>0</v>
      </c>
      <c r="BU407" s="58">
        <f t="shared" si="1870"/>
        <v>15654.049998999999</v>
      </c>
      <c r="BV407" s="58">
        <f t="shared" si="1870"/>
        <v>3504.4500000000007</v>
      </c>
      <c r="BW407" s="58">
        <f t="shared" si="1870"/>
        <v>19158.499999</v>
      </c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</row>
    <row r="408" spans="1:85" ht="15.75" customHeight="1">
      <c r="A408" s="145"/>
      <c r="B408" s="132" t="s">
        <v>732</v>
      </c>
      <c r="C408" s="148" t="s">
        <v>262</v>
      </c>
      <c r="D408" s="149" t="s">
        <v>733</v>
      </c>
      <c r="E408" s="70"/>
      <c r="F408" s="71"/>
      <c r="G408" s="71">
        <f t="shared" ref="G408:G415" si="1871">E408-F408</f>
        <v>0</v>
      </c>
      <c r="H408" s="127">
        <v>250000</v>
      </c>
      <c r="I408" s="72">
        <f t="shared" si="1737"/>
        <v>0</v>
      </c>
      <c r="J408" s="72">
        <f t="shared" si="1738"/>
        <v>0</v>
      </c>
      <c r="K408" s="88"/>
      <c r="L408" s="81">
        <v>155586</v>
      </c>
      <c r="M408" s="81">
        <f>3857.48</f>
        <v>3857.48</v>
      </c>
      <c r="N408" s="88"/>
      <c r="O408" s="77">
        <f t="shared" ref="O408:Q408" si="1872">AA408+AD408+AG408+AJ408+AM408+AP408+AS408+AV408+AY408+BB408+BE408+BH408</f>
        <v>0</v>
      </c>
      <c r="P408" s="77">
        <f t="shared" si="1872"/>
        <v>151728.51999999999</v>
      </c>
      <c r="Q408" s="77">
        <f t="shared" si="1872"/>
        <v>0</v>
      </c>
      <c r="R408" s="77">
        <f t="shared" ref="R408:T408" si="1873">IF(BK408=0,SUM(AA408+AD408+AG408+AJ408+AM408+AP408+AS408+AV408+AY408+BB408+BE408+BH408),BK408)</f>
        <v>0</v>
      </c>
      <c r="S408" s="77">
        <f t="shared" si="1873"/>
        <v>151728.51999999999</v>
      </c>
      <c r="T408" s="77">
        <f t="shared" si="1873"/>
        <v>0</v>
      </c>
      <c r="U408" s="79">
        <f t="shared" ref="U408:U415" si="1874">K408-O408</f>
        <v>0</v>
      </c>
      <c r="V408" s="79">
        <f t="shared" ref="V408:V415" si="1875">L408-M408-S408</f>
        <v>0</v>
      </c>
      <c r="W408" s="79">
        <f t="shared" ref="W408:W415" si="1876">N408-Q408</f>
        <v>0</v>
      </c>
      <c r="X408" s="80">
        <f t="shared" ref="X408:Y408" si="1877">IF(O408&gt;0,O408/K408,0)</f>
        <v>0</v>
      </c>
      <c r="Y408" s="80">
        <f t="shared" si="1877"/>
        <v>0.97520676667566486</v>
      </c>
      <c r="Z408" s="80">
        <f t="shared" si="1518"/>
        <v>0</v>
      </c>
      <c r="AA408" s="81"/>
      <c r="AB408" s="81"/>
      <c r="AC408" s="81"/>
      <c r="AD408" s="81"/>
      <c r="AE408" s="83"/>
      <c r="AF408" s="83"/>
      <c r="AG408" s="83"/>
      <c r="AH408" s="83"/>
      <c r="AI408" s="81"/>
      <c r="AJ408" s="81"/>
      <c r="AK408" s="81"/>
      <c r="AL408" s="81"/>
      <c r="AM408" s="81"/>
      <c r="AN408" s="81"/>
      <c r="AO408" s="81"/>
      <c r="AP408" s="81"/>
      <c r="AQ408" s="81"/>
      <c r="AR408" s="81"/>
      <c r="AS408" s="81"/>
      <c r="AT408" s="81"/>
      <c r="AU408" s="81"/>
      <c r="AV408" s="81"/>
      <c r="AW408" s="81"/>
      <c r="AX408" s="81"/>
      <c r="AY408" s="81"/>
      <c r="AZ408" s="81">
        <f>69394.93</f>
        <v>69394.929999999993</v>
      </c>
      <c r="BA408" s="81"/>
      <c r="BB408" s="81"/>
      <c r="BC408" s="81"/>
      <c r="BD408" s="81"/>
      <c r="BE408" s="81"/>
      <c r="BF408" s="81"/>
      <c r="BG408" s="81"/>
      <c r="BH408" s="81"/>
      <c r="BI408" s="81">
        <f>82333.59</f>
        <v>82333.59</v>
      </c>
      <c r="BJ408" s="81"/>
      <c r="BK408" s="82">
        <v>0</v>
      </c>
      <c r="BL408" s="82">
        <v>151728.51999999999</v>
      </c>
      <c r="BM408" s="82">
        <v>0</v>
      </c>
      <c r="BN408" s="81">
        <f t="shared" ref="BN408:BN415" si="1878">IF(O408-BK408&gt;0,O408-BK408,0)</f>
        <v>0</v>
      </c>
      <c r="BO408" s="75">
        <f t="shared" ref="BO408:BO415" si="1879">IF(Q408-BM408&gt;0,Q408-BM408,0)</f>
        <v>0</v>
      </c>
      <c r="BP408" s="81">
        <f t="shared" ref="BP408:BP415" si="1880">IF(BN408+BO408&gt;0,BN408+BO408,0)</f>
        <v>0</v>
      </c>
      <c r="BQ408" s="81">
        <f t="shared" ref="BQ408:BQ415" si="1881">IF(U408=0,0,U408)</f>
        <v>0</v>
      </c>
      <c r="BR408" s="81">
        <f t="shared" ref="BR408:BR415" si="1882">IF(W408=0,0,W408)</f>
        <v>0</v>
      </c>
      <c r="BS408" s="81">
        <f t="shared" ref="BS408:BS415" si="1883">IF(BQ408+BR408&gt;0,BQ408+BR408,0)</f>
        <v>0</v>
      </c>
      <c r="BT408" s="81">
        <f t="shared" ref="BT408:BT415" si="1884">IF(V408&gt;0,V408,0)</f>
        <v>0</v>
      </c>
      <c r="BU408" s="81">
        <f t="shared" ref="BU408:BU415" si="1885">IF(BP408=0,0,BP408)</f>
        <v>0</v>
      </c>
      <c r="BV408" s="81">
        <f t="shared" ref="BV408:BV415" si="1886">IF(BS408=0,0,BS408)</f>
        <v>0</v>
      </c>
      <c r="BW408" s="81">
        <f t="shared" ref="BW408:BW415" si="1887">IF(BP408+BT408+BV408&gt;0,BP408+BT408+BV408,0)</f>
        <v>0</v>
      </c>
      <c r="BX408" s="1"/>
      <c r="BY408" s="1"/>
      <c r="BZ408" s="1"/>
      <c r="CA408" s="1"/>
      <c r="CB408" s="1"/>
      <c r="CC408" s="1"/>
      <c r="CD408" s="1"/>
      <c r="CE408" s="1"/>
      <c r="CF408" s="1"/>
      <c r="CG408" s="1"/>
    </row>
    <row r="409" spans="1:85" ht="15.75" customHeight="1">
      <c r="A409" s="113"/>
      <c r="B409" s="115" t="s">
        <v>734</v>
      </c>
      <c r="C409" s="148" t="s">
        <v>262</v>
      </c>
      <c r="D409" s="149" t="s">
        <v>735</v>
      </c>
      <c r="E409" s="70"/>
      <c r="F409" s="71"/>
      <c r="G409" s="71">
        <f t="shared" si="1871"/>
        <v>0</v>
      </c>
      <c r="H409" s="70"/>
      <c r="I409" s="72">
        <f t="shared" si="1737"/>
        <v>0</v>
      </c>
      <c r="J409" s="72">
        <f t="shared" si="1738"/>
        <v>0</v>
      </c>
      <c r="K409" s="88"/>
      <c r="L409" s="81">
        <v>93710.16</v>
      </c>
      <c r="M409" s="82">
        <v>32249.93</v>
      </c>
      <c r="N409" s="88"/>
      <c r="O409" s="77">
        <f t="shared" ref="O409:Q409" si="1888">AA409+AD409+AG409+AJ409+AM409+AP409+AS409+AV409+AY409+BB409+BE409+BH409</f>
        <v>0</v>
      </c>
      <c r="P409" s="77">
        <f t="shared" si="1888"/>
        <v>61460.23</v>
      </c>
      <c r="Q409" s="77">
        <f t="shared" si="1888"/>
        <v>0</v>
      </c>
      <c r="R409" s="77">
        <f t="shared" ref="R409:T409" si="1889">IF(BK409=0,SUM(AA409+AD409+AG409+AJ409+AM409+AP409+AS409+AV409+AY409+BB409+BE409+BH409),BK409)</f>
        <v>0</v>
      </c>
      <c r="S409" s="77">
        <f t="shared" si="1889"/>
        <v>61460.23</v>
      </c>
      <c r="T409" s="77">
        <f t="shared" si="1889"/>
        <v>0</v>
      </c>
      <c r="U409" s="79">
        <f t="shared" si="1874"/>
        <v>0</v>
      </c>
      <c r="V409" s="79">
        <f t="shared" si="1875"/>
        <v>0</v>
      </c>
      <c r="W409" s="79">
        <f t="shared" si="1876"/>
        <v>0</v>
      </c>
      <c r="X409" s="80">
        <f t="shared" ref="X409:Y409" si="1890">IF(O409&gt;0,O409/K409,0)</f>
        <v>0</v>
      </c>
      <c r="Y409" s="80">
        <f t="shared" si="1890"/>
        <v>0.65585449859438938</v>
      </c>
      <c r="Z409" s="80">
        <f t="shared" si="1518"/>
        <v>0</v>
      </c>
      <c r="AA409" s="81"/>
      <c r="AB409" s="81">
        <f>17714.18+25389.45</f>
        <v>43103.630000000005</v>
      </c>
      <c r="AC409" s="81"/>
      <c r="AD409" s="81"/>
      <c r="AE409" s="128">
        <v>7384.63</v>
      </c>
      <c r="AF409" s="83"/>
      <c r="AG409" s="83"/>
      <c r="AH409" s="83"/>
      <c r="AI409" s="81"/>
      <c r="AJ409" s="81"/>
      <c r="AK409" s="81"/>
      <c r="AL409" s="81"/>
      <c r="AM409" s="81"/>
      <c r="AN409" s="82">
        <v>10971.97</v>
      </c>
      <c r="AO409" s="81"/>
      <c r="AP409" s="81"/>
      <c r="AQ409" s="81"/>
      <c r="AR409" s="81"/>
      <c r="AS409" s="81"/>
      <c r="AT409" s="81"/>
      <c r="AU409" s="81"/>
      <c r="AV409" s="81"/>
      <c r="AW409" s="81"/>
      <c r="AX409" s="81"/>
      <c r="AY409" s="81"/>
      <c r="AZ409" s="81"/>
      <c r="BA409" s="81"/>
      <c r="BB409" s="81"/>
      <c r="BC409" s="81"/>
      <c r="BD409" s="81"/>
      <c r="BE409" s="81"/>
      <c r="BF409" s="81"/>
      <c r="BG409" s="81"/>
      <c r="BH409" s="81"/>
      <c r="BI409" s="81"/>
      <c r="BJ409" s="81"/>
      <c r="BK409" s="82">
        <v>0</v>
      </c>
      <c r="BL409" s="82">
        <v>61460.23</v>
      </c>
      <c r="BM409" s="82">
        <v>0</v>
      </c>
      <c r="BN409" s="81">
        <f t="shared" si="1878"/>
        <v>0</v>
      </c>
      <c r="BO409" s="75">
        <f t="shared" si="1879"/>
        <v>0</v>
      </c>
      <c r="BP409" s="81">
        <f t="shared" si="1880"/>
        <v>0</v>
      </c>
      <c r="BQ409" s="81">
        <f t="shared" si="1881"/>
        <v>0</v>
      </c>
      <c r="BR409" s="81">
        <f t="shared" si="1882"/>
        <v>0</v>
      </c>
      <c r="BS409" s="81">
        <f t="shared" si="1883"/>
        <v>0</v>
      </c>
      <c r="BT409" s="81">
        <f t="shared" si="1884"/>
        <v>0</v>
      </c>
      <c r="BU409" s="81">
        <f t="shared" si="1885"/>
        <v>0</v>
      </c>
      <c r="BV409" s="81">
        <f t="shared" si="1886"/>
        <v>0</v>
      </c>
      <c r="BW409" s="81">
        <f t="shared" si="1887"/>
        <v>0</v>
      </c>
      <c r="BX409" s="1"/>
      <c r="BY409" s="1"/>
      <c r="BZ409" s="1"/>
      <c r="CA409" s="1"/>
      <c r="CB409" s="1"/>
      <c r="CC409" s="1"/>
      <c r="CD409" s="1"/>
      <c r="CE409" s="1"/>
      <c r="CF409" s="1"/>
      <c r="CG409" s="1"/>
    </row>
    <row r="410" spans="1:85" ht="15.75" customHeight="1">
      <c r="A410" s="242"/>
      <c r="B410" s="85" t="s">
        <v>736</v>
      </c>
      <c r="C410" s="148" t="s">
        <v>262</v>
      </c>
      <c r="D410" s="149" t="s">
        <v>737</v>
      </c>
      <c r="E410" s="70"/>
      <c r="F410" s="71"/>
      <c r="G410" s="71">
        <f t="shared" si="1871"/>
        <v>0</v>
      </c>
      <c r="H410" s="70"/>
      <c r="I410" s="72">
        <f t="shared" si="1737"/>
        <v>0</v>
      </c>
      <c r="J410" s="72">
        <f t="shared" si="1738"/>
        <v>0</v>
      </c>
      <c r="K410" s="88"/>
      <c r="L410" s="81">
        <v>89850</v>
      </c>
      <c r="M410" s="81"/>
      <c r="N410" s="88"/>
      <c r="O410" s="77">
        <f t="shared" ref="O410:Q410" si="1891">AA410+AD410+AG410+AJ410+AM410+AP410+AS410+AV410+AY410+BB410+BE410+BH410</f>
        <v>0</v>
      </c>
      <c r="P410" s="77">
        <f t="shared" si="1891"/>
        <v>89850</v>
      </c>
      <c r="Q410" s="77">
        <f t="shared" si="1891"/>
        <v>0</v>
      </c>
      <c r="R410" s="77">
        <f t="shared" ref="R410:T410" si="1892">IF(BK410=0,SUM(AA410+AD410+AG410+AJ410+AM410+AP410+AS410+AV410+AY410+BB410+BE410+BH410),BK410)</f>
        <v>0</v>
      </c>
      <c r="S410" s="77">
        <f t="shared" si="1892"/>
        <v>89850</v>
      </c>
      <c r="T410" s="77">
        <f t="shared" si="1892"/>
        <v>0</v>
      </c>
      <c r="U410" s="79">
        <f t="shared" si="1874"/>
        <v>0</v>
      </c>
      <c r="V410" s="79">
        <f t="shared" si="1875"/>
        <v>0</v>
      </c>
      <c r="W410" s="79">
        <f t="shared" si="1876"/>
        <v>0</v>
      </c>
      <c r="X410" s="80">
        <f t="shared" ref="X410:Y410" si="1893">IF(O410&gt;0,O410/K410,0)</f>
        <v>0</v>
      </c>
      <c r="Y410" s="80">
        <f t="shared" si="1893"/>
        <v>1</v>
      </c>
      <c r="Z410" s="80">
        <f t="shared" si="1518"/>
        <v>0</v>
      </c>
      <c r="AA410" s="81"/>
      <c r="AB410" s="81"/>
      <c r="AC410" s="81"/>
      <c r="AD410" s="81"/>
      <c r="AE410" s="83"/>
      <c r="AF410" s="83"/>
      <c r="AG410" s="83"/>
      <c r="AH410" s="83"/>
      <c r="AI410" s="81"/>
      <c r="AJ410" s="81"/>
      <c r="AK410" s="81"/>
      <c r="AL410" s="81"/>
      <c r="AM410" s="81"/>
      <c r="AN410" s="81"/>
      <c r="AO410" s="81"/>
      <c r="AP410" s="81"/>
      <c r="AQ410" s="81"/>
      <c r="AR410" s="81"/>
      <c r="AS410" s="81"/>
      <c r="AT410" s="81"/>
      <c r="AU410" s="81"/>
      <c r="AV410" s="81"/>
      <c r="AW410" s="81"/>
      <c r="AX410" s="81"/>
      <c r="AY410" s="81"/>
      <c r="AZ410" s="81"/>
      <c r="BA410" s="81"/>
      <c r="BB410" s="81"/>
      <c r="BC410" s="81"/>
      <c r="BD410" s="81"/>
      <c r="BE410" s="81"/>
      <c r="BF410" s="81"/>
      <c r="BG410" s="81"/>
      <c r="BH410" s="81"/>
      <c r="BI410" s="82">
        <v>89850</v>
      </c>
      <c r="BJ410" s="81"/>
      <c r="BK410" s="82">
        <v>0</v>
      </c>
      <c r="BL410" s="82">
        <v>89850</v>
      </c>
      <c r="BM410" s="82">
        <v>0</v>
      </c>
      <c r="BN410" s="81">
        <f t="shared" si="1878"/>
        <v>0</v>
      </c>
      <c r="BO410" s="75">
        <f t="shared" si="1879"/>
        <v>0</v>
      </c>
      <c r="BP410" s="81">
        <f t="shared" si="1880"/>
        <v>0</v>
      </c>
      <c r="BQ410" s="81">
        <f t="shared" si="1881"/>
        <v>0</v>
      </c>
      <c r="BR410" s="81">
        <f t="shared" si="1882"/>
        <v>0</v>
      </c>
      <c r="BS410" s="81">
        <f t="shared" si="1883"/>
        <v>0</v>
      </c>
      <c r="BT410" s="81">
        <f t="shared" si="1884"/>
        <v>0</v>
      </c>
      <c r="BU410" s="81">
        <f t="shared" si="1885"/>
        <v>0</v>
      </c>
      <c r="BV410" s="81">
        <f t="shared" si="1886"/>
        <v>0</v>
      </c>
      <c r="BW410" s="81">
        <f t="shared" si="1887"/>
        <v>0</v>
      </c>
      <c r="BX410" s="1"/>
      <c r="BY410" s="1"/>
      <c r="BZ410" s="1"/>
      <c r="CA410" s="1"/>
      <c r="CB410" s="1"/>
      <c r="CC410" s="1"/>
      <c r="CD410" s="1"/>
      <c r="CE410" s="1"/>
      <c r="CF410" s="1"/>
      <c r="CG410" s="1"/>
    </row>
    <row r="411" spans="1:85" ht="15.75" customHeight="1">
      <c r="A411" s="134" t="s">
        <v>738</v>
      </c>
      <c r="B411" s="85"/>
      <c r="C411" s="148" t="s">
        <v>262</v>
      </c>
      <c r="D411" s="150" t="s">
        <v>739</v>
      </c>
      <c r="E411" s="70"/>
      <c r="F411" s="71"/>
      <c r="G411" s="71">
        <f t="shared" si="1871"/>
        <v>0</v>
      </c>
      <c r="H411" s="70"/>
      <c r="I411" s="72">
        <f t="shared" si="1737"/>
        <v>0</v>
      </c>
      <c r="J411" s="72">
        <f t="shared" si="1738"/>
        <v>0</v>
      </c>
      <c r="K411" s="88"/>
      <c r="L411" s="81"/>
      <c r="M411" s="81"/>
      <c r="N411" s="73">
        <v>200</v>
      </c>
      <c r="O411" s="77">
        <f t="shared" ref="O411:Q411" si="1894">AA411+AD411+AG411+AJ411+AM411+AP411+AS411+AV411+AY411+BB411+BE411+BH411</f>
        <v>0</v>
      </c>
      <c r="P411" s="77">
        <f t="shared" si="1894"/>
        <v>0</v>
      </c>
      <c r="Q411" s="77">
        <f t="shared" si="1894"/>
        <v>0</v>
      </c>
      <c r="R411" s="77">
        <f t="shared" ref="R411:T411" si="1895">IF(BK411=0,SUM(AA411+AD411+AG411+AJ411+AM411+AP411+AS411+AV411+AY411+BB411+BE411+BH411),BK411)</f>
        <v>0</v>
      </c>
      <c r="S411" s="77">
        <f t="shared" si="1895"/>
        <v>0</v>
      </c>
      <c r="T411" s="77">
        <f t="shared" si="1895"/>
        <v>0</v>
      </c>
      <c r="U411" s="79">
        <f t="shared" si="1874"/>
        <v>0</v>
      </c>
      <c r="V411" s="79">
        <f t="shared" si="1875"/>
        <v>0</v>
      </c>
      <c r="W411" s="78">
        <f t="shared" si="1876"/>
        <v>200</v>
      </c>
      <c r="X411" s="80">
        <f t="shared" ref="X411:Y411" si="1896">IF(O411&gt;0,O411/K411,0)</f>
        <v>0</v>
      </c>
      <c r="Y411" s="80">
        <f t="shared" si="1896"/>
        <v>0</v>
      </c>
      <c r="Z411" s="80">
        <f t="shared" si="1518"/>
        <v>0</v>
      </c>
      <c r="AA411" s="81"/>
      <c r="AB411" s="81"/>
      <c r="AC411" s="81"/>
      <c r="AD411" s="81"/>
      <c r="AE411" s="83"/>
      <c r="AF411" s="83"/>
      <c r="AG411" s="83"/>
      <c r="AH411" s="83"/>
      <c r="AI411" s="81"/>
      <c r="AJ411" s="81"/>
      <c r="AK411" s="81"/>
      <c r="AL411" s="81"/>
      <c r="AM411" s="81"/>
      <c r="AN411" s="81"/>
      <c r="AO411" s="81"/>
      <c r="AP411" s="81"/>
      <c r="AQ411" s="81"/>
      <c r="AR411" s="81"/>
      <c r="AS411" s="81"/>
      <c r="AT411" s="81"/>
      <c r="AU411" s="81"/>
      <c r="AV411" s="81"/>
      <c r="AW411" s="81"/>
      <c r="AX411" s="81"/>
      <c r="AY411" s="81"/>
      <c r="AZ411" s="81"/>
      <c r="BA411" s="81"/>
      <c r="BB411" s="81"/>
      <c r="BC411" s="81"/>
      <c r="BD411" s="81"/>
      <c r="BE411" s="81"/>
      <c r="BF411" s="81"/>
      <c r="BG411" s="81"/>
      <c r="BH411" s="81"/>
      <c r="BI411" s="81"/>
      <c r="BJ411" s="81"/>
      <c r="BK411" s="82">
        <v>0</v>
      </c>
      <c r="BL411" s="82">
        <v>0</v>
      </c>
      <c r="BM411" s="82">
        <v>0</v>
      </c>
      <c r="BN411" s="81">
        <f t="shared" si="1878"/>
        <v>0</v>
      </c>
      <c r="BO411" s="75">
        <f t="shared" si="1879"/>
        <v>0</v>
      </c>
      <c r="BP411" s="81">
        <f t="shared" si="1880"/>
        <v>0</v>
      </c>
      <c r="BQ411" s="81">
        <f t="shared" si="1881"/>
        <v>0</v>
      </c>
      <c r="BR411" s="81">
        <f t="shared" si="1882"/>
        <v>200</v>
      </c>
      <c r="BS411" s="81">
        <f t="shared" si="1883"/>
        <v>200</v>
      </c>
      <c r="BT411" s="81">
        <f t="shared" si="1884"/>
        <v>0</v>
      </c>
      <c r="BU411" s="81">
        <f t="shared" si="1885"/>
        <v>0</v>
      </c>
      <c r="BV411" s="81">
        <f t="shared" si="1886"/>
        <v>200</v>
      </c>
      <c r="BW411" s="81">
        <f t="shared" si="1887"/>
        <v>200</v>
      </c>
      <c r="BX411" s="1"/>
      <c r="BY411" s="1"/>
      <c r="BZ411" s="1"/>
      <c r="CA411" s="1"/>
      <c r="CB411" s="1"/>
      <c r="CC411" s="1"/>
      <c r="CD411" s="1"/>
      <c r="CE411" s="1"/>
      <c r="CF411" s="1"/>
      <c r="CG411" s="1"/>
    </row>
    <row r="412" spans="1:85" ht="15.75" customHeight="1">
      <c r="A412" s="134" t="s">
        <v>740</v>
      </c>
      <c r="B412" s="85"/>
      <c r="C412" s="148" t="s">
        <v>270</v>
      </c>
      <c r="D412" s="150" t="s">
        <v>741</v>
      </c>
      <c r="E412" s="70"/>
      <c r="F412" s="71"/>
      <c r="G412" s="71">
        <f t="shared" si="1871"/>
        <v>0</v>
      </c>
      <c r="H412" s="70"/>
      <c r="I412" s="72">
        <f t="shared" si="1737"/>
        <v>0</v>
      </c>
      <c r="J412" s="72">
        <f t="shared" si="1738"/>
        <v>0</v>
      </c>
      <c r="K412" s="88"/>
      <c r="L412" s="81"/>
      <c r="M412" s="81"/>
      <c r="N412" s="215">
        <v>18958.5</v>
      </c>
      <c r="O412" s="77">
        <f t="shared" ref="O412:Q412" si="1897">AA412+AD412+AG412+AJ412+AM412+AP412+AS412+AV412+AY412+BB412+BE412+BH412</f>
        <v>0</v>
      </c>
      <c r="P412" s="77">
        <f t="shared" si="1897"/>
        <v>0</v>
      </c>
      <c r="Q412" s="77">
        <f t="shared" si="1897"/>
        <v>15654.05</v>
      </c>
      <c r="R412" s="77">
        <f t="shared" ref="R412:T412" si="1898">IF(BK412=0,SUM(AA412+AD412+AG412+AJ412+AM412+AP412+AS412+AV412+AY412+BB412+BE412+BH412),BK412)</f>
        <v>0</v>
      </c>
      <c r="S412" s="77">
        <f t="shared" si="1898"/>
        <v>0</v>
      </c>
      <c r="T412" s="77">
        <f t="shared" si="1898"/>
        <v>9.9999999999999995E-7</v>
      </c>
      <c r="U412" s="78">
        <f t="shared" si="1874"/>
        <v>0</v>
      </c>
      <c r="V412" s="79">
        <f t="shared" si="1875"/>
        <v>0</v>
      </c>
      <c r="W412" s="78">
        <f t="shared" si="1876"/>
        <v>3304.4500000000007</v>
      </c>
      <c r="X412" s="80">
        <f t="shared" ref="X412:Y412" si="1899">IF(O412&gt;0,O412/K412,0)</f>
        <v>0</v>
      </c>
      <c r="Y412" s="80">
        <f t="shared" si="1899"/>
        <v>0</v>
      </c>
      <c r="Z412" s="80">
        <f t="shared" si="1518"/>
        <v>0.82570087295935857</v>
      </c>
      <c r="AA412" s="81"/>
      <c r="AB412" s="81"/>
      <c r="AC412" s="81"/>
      <c r="AD412" s="81"/>
      <c r="AE412" s="83"/>
      <c r="AF412" s="83"/>
      <c r="AG412" s="83"/>
      <c r="AH412" s="83"/>
      <c r="AI412" s="81"/>
      <c r="AJ412" s="81"/>
      <c r="AK412" s="81"/>
      <c r="AL412" s="81"/>
      <c r="AM412" s="81"/>
      <c r="AN412" s="81"/>
      <c r="AO412" s="81"/>
      <c r="AP412" s="81"/>
      <c r="AQ412" s="81"/>
      <c r="AR412" s="81"/>
      <c r="AS412" s="81"/>
      <c r="AT412" s="81"/>
      <c r="AU412" s="81"/>
      <c r="AV412" s="81"/>
      <c r="AW412" s="81"/>
      <c r="AX412" s="81"/>
      <c r="AY412" s="81"/>
      <c r="AZ412" s="81"/>
      <c r="BA412" s="81"/>
      <c r="BB412" s="81"/>
      <c r="BC412" s="81"/>
      <c r="BD412" s="81"/>
      <c r="BE412" s="81"/>
      <c r="BF412" s="81"/>
      <c r="BG412" s="81"/>
      <c r="BH412" s="81"/>
      <c r="BI412" s="81"/>
      <c r="BJ412" s="82">
        <v>15654.05</v>
      </c>
      <c r="BK412" s="82">
        <v>0</v>
      </c>
      <c r="BL412" s="82">
        <v>0</v>
      </c>
      <c r="BM412" s="82">
        <v>9.9999999999999995E-7</v>
      </c>
      <c r="BN412" s="81">
        <f t="shared" si="1878"/>
        <v>0</v>
      </c>
      <c r="BO412" s="210">
        <f t="shared" si="1879"/>
        <v>15654.049998999999</v>
      </c>
      <c r="BP412" s="81">
        <f t="shared" si="1880"/>
        <v>15654.049998999999</v>
      </c>
      <c r="BQ412" s="81">
        <f t="shared" si="1881"/>
        <v>0</v>
      </c>
      <c r="BR412" s="81">
        <f t="shared" si="1882"/>
        <v>3304.4500000000007</v>
      </c>
      <c r="BS412" s="81">
        <f t="shared" si="1883"/>
        <v>3304.4500000000007</v>
      </c>
      <c r="BT412" s="81">
        <f t="shared" si="1884"/>
        <v>0</v>
      </c>
      <c r="BU412" s="81">
        <f t="shared" si="1885"/>
        <v>15654.049998999999</v>
      </c>
      <c r="BV412" s="81">
        <f t="shared" si="1886"/>
        <v>3304.4500000000007</v>
      </c>
      <c r="BW412" s="81">
        <f t="shared" si="1887"/>
        <v>18958.499999</v>
      </c>
      <c r="BX412" s="1"/>
      <c r="BY412" s="1"/>
      <c r="BZ412" s="1"/>
      <c r="CA412" s="1"/>
      <c r="CB412" s="1"/>
      <c r="CC412" s="1"/>
      <c r="CD412" s="1"/>
      <c r="CE412" s="1"/>
      <c r="CF412" s="1"/>
      <c r="CG412" s="1"/>
    </row>
    <row r="413" spans="1:85" ht="15.75" customHeight="1">
      <c r="A413" s="176" t="s">
        <v>742</v>
      </c>
      <c r="B413" s="132"/>
      <c r="C413" s="129" t="s">
        <v>304</v>
      </c>
      <c r="D413" s="126" t="s">
        <v>462</v>
      </c>
      <c r="E413" s="70"/>
      <c r="F413" s="71"/>
      <c r="G413" s="71">
        <f t="shared" si="1871"/>
        <v>0</v>
      </c>
      <c r="H413" s="70"/>
      <c r="I413" s="72">
        <f t="shared" si="1737"/>
        <v>0</v>
      </c>
      <c r="J413" s="72">
        <f t="shared" si="1738"/>
        <v>0</v>
      </c>
      <c r="K413" s="73">
        <f>7750-7750</f>
        <v>0</v>
      </c>
      <c r="L413" s="81"/>
      <c r="M413" s="81"/>
      <c r="N413" s="107"/>
      <c r="O413" s="77">
        <f t="shared" ref="O413:Q413" si="1900">AA413+AD413+AG413+AJ413+AM413+AP413+AS413+AV413+AY413+BB413+BE413+BH413</f>
        <v>0</v>
      </c>
      <c r="P413" s="77">
        <f t="shared" si="1900"/>
        <v>0</v>
      </c>
      <c r="Q413" s="77">
        <f t="shared" si="1900"/>
        <v>0</v>
      </c>
      <c r="R413" s="77">
        <f t="shared" ref="R413:T413" si="1901">IF(BK413=0,SUM(AA413+AD413+AG413+AJ413+AM413+AP413+AS413+AV413+AY413+BB413+BE413+BH413),BK413)</f>
        <v>0</v>
      </c>
      <c r="S413" s="77">
        <f t="shared" si="1901"/>
        <v>0</v>
      </c>
      <c r="T413" s="77">
        <f t="shared" si="1901"/>
        <v>0</v>
      </c>
      <c r="U413" s="78">
        <f t="shared" si="1874"/>
        <v>0</v>
      </c>
      <c r="V413" s="79">
        <f t="shared" si="1875"/>
        <v>0</v>
      </c>
      <c r="W413" s="78">
        <f t="shared" si="1876"/>
        <v>0</v>
      </c>
      <c r="X413" s="80">
        <f t="shared" ref="X413:Y413" si="1902">IF(O413&gt;0,O413/K413,0)</f>
        <v>0</v>
      </c>
      <c r="Y413" s="80">
        <f t="shared" si="1902"/>
        <v>0</v>
      </c>
      <c r="Z413" s="80">
        <f t="shared" si="1518"/>
        <v>0</v>
      </c>
      <c r="AA413" s="81"/>
      <c r="AB413" s="82"/>
      <c r="AC413" s="81"/>
      <c r="AD413" s="81"/>
      <c r="AE413" s="83"/>
      <c r="AF413" s="83"/>
      <c r="AG413" s="83"/>
      <c r="AH413" s="128"/>
      <c r="AI413" s="81"/>
      <c r="AJ413" s="81"/>
      <c r="AK413" s="81"/>
      <c r="AL413" s="81"/>
      <c r="AM413" s="81"/>
      <c r="AN413" s="81"/>
      <c r="AO413" s="81"/>
      <c r="AP413" s="81"/>
      <c r="AQ413" s="81"/>
      <c r="AR413" s="81"/>
      <c r="AS413" s="81"/>
      <c r="AT413" s="81"/>
      <c r="AU413" s="81"/>
      <c r="AV413" s="81"/>
      <c r="AW413" s="81"/>
      <c r="AX413" s="81"/>
      <c r="AY413" s="81"/>
      <c r="AZ413" s="81"/>
      <c r="BA413" s="81"/>
      <c r="BB413" s="81"/>
      <c r="BC413" s="81"/>
      <c r="BD413" s="81"/>
      <c r="BE413" s="81"/>
      <c r="BF413" s="81"/>
      <c r="BG413" s="81"/>
      <c r="BH413" s="81"/>
      <c r="BI413" s="81"/>
      <c r="BJ413" s="81"/>
      <c r="BK413" s="82">
        <v>0</v>
      </c>
      <c r="BL413" s="82">
        <v>0</v>
      </c>
      <c r="BM413" s="82">
        <v>0</v>
      </c>
      <c r="BN413" s="81">
        <f t="shared" si="1878"/>
        <v>0</v>
      </c>
      <c r="BO413" s="75">
        <f t="shared" si="1879"/>
        <v>0</v>
      </c>
      <c r="BP413" s="81">
        <f t="shared" si="1880"/>
        <v>0</v>
      </c>
      <c r="BQ413" s="81">
        <f t="shared" si="1881"/>
        <v>0</v>
      </c>
      <c r="BR413" s="81">
        <f t="shared" si="1882"/>
        <v>0</v>
      </c>
      <c r="BS413" s="81">
        <f t="shared" si="1883"/>
        <v>0</v>
      </c>
      <c r="BT413" s="81">
        <f t="shared" si="1884"/>
        <v>0</v>
      </c>
      <c r="BU413" s="81">
        <f t="shared" si="1885"/>
        <v>0</v>
      </c>
      <c r="BV413" s="81">
        <f t="shared" si="1886"/>
        <v>0</v>
      </c>
      <c r="BW413" s="81">
        <f t="shared" si="1887"/>
        <v>0</v>
      </c>
      <c r="BX413" s="1"/>
      <c r="BY413" s="1"/>
      <c r="BZ413" s="1"/>
      <c r="CA413" s="1"/>
      <c r="CB413" s="1"/>
      <c r="CC413" s="1"/>
      <c r="CD413" s="1"/>
      <c r="CE413" s="1"/>
      <c r="CF413" s="1"/>
      <c r="CG413" s="1"/>
    </row>
    <row r="414" spans="1:85" ht="15.75" customHeight="1">
      <c r="A414" s="361"/>
      <c r="B414" s="132" t="s">
        <v>709</v>
      </c>
      <c r="C414" s="86" t="s">
        <v>743</v>
      </c>
      <c r="D414" s="126" t="s">
        <v>744</v>
      </c>
      <c r="E414" s="70"/>
      <c r="F414" s="71"/>
      <c r="G414" s="71">
        <f t="shared" si="1871"/>
        <v>0</v>
      </c>
      <c r="H414" s="70">
        <v>155000</v>
      </c>
      <c r="I414" s="72">
        <f t="shared" si="1737"/>
        <v>0</v>
      </c>
      <c r="J414" s="72">
        <f t="shared" si="1738"/>
        <v>0</v>
      </c>
      <c r="K414" s="88"/>
      <c r="L414" s="81">
        <v>15996.51</v>
      </c>
      <c r="M414" s="81"/>
      <c r="N414" s="107"/>
      <c r="O414" s="77">
        <f t="shared" ref="O414:Q414" si="1903">AA414+AD414+AG414+AJ414+AM414+AP414+AS414+AV414+AY414+BB414+BE414+BH414</f>
        <v>0</v>
      </c>
      <c r="P414" s="77">
        <f t="shared" si="1903"/>
        <v>15996.51</v>
      </c>
      <c r="Q414" s="77">
        <f t="shared" si="1903"/>
        <v>0</v>
      </c>
      <c r="R414" s="77">
        <f t="shared" ref="R414:T414" si="1904">IF(BK414=0,SUM(AA414+AD414+AG414+AJ414+AM414+AP414+AS414+AV414+AY414+BB414+BE414+BH414),BK414)</f>
        <v>0</v>
      </c>
      <c r="S414" s="77">
        <f t="shared" si="1904"/>
        <v>15996.51</v>
      </c>
      <c r="T414" s="77">
        <f t="shared" si="1904"/>
        <v>0</v>
      </c>
      <c r="U414" s="79">
        <f t="shared" si="1874"/>
        <v>0</v>
      </c>
      <c r="V414" s="79">
        <f t="shared" si="1875"/>
        <v>0</v>
      </c>
      <c r="W414" s="79">
        <f t="shared" si="1876"/>
        <v>0</v>
      </c>
      <c r="X414" s="80">
        <f t="shared" ref="X414:Y414" si="1905">IF(O414&gt;0,O414/K414,0)</f>
        <v>0</v>
      </c>
      <c r="Y414" s="80">
        <f t="shared" si="1905"/>
        <v>1</v>
      </c>
      <c r="Z414" s="80">
        <f t="shared" si="1518"/>
        <v>0</v>
      </c>
      <c r="AA414" s="81"/>
      <c r="AB414" s="82">
        <v>5931.75</v>
      </c>
      <c r="AC414" s="81"/>
      <c r="AD414" s="81"/>
      <c r="AE414" s="83"/>
      <c r="AF414" s="83"/>
      <c r="AG414" s="83"/>
      <c r="AH414" s="128">
        <v>10064.76</v>
      </c>
      <c r="AI414" s="81"/>
      <c r="AJ414" s="81"/>
      <c r="AK414" s="81"/>
      <c r="AL414" s="81"/>
      <c r="AM414" s="81"/>
      <c r="AN414" s="81"/>
      <c r="AO414" s="81"/>
      <c r="AP414" s="81"/>
      <c r="AQ414" s="81"/>
      <c r="AR414" s="81"/>
      <c r="AS414" s="81"/>
      <c r="AT414" s="81"/>
      <c r="AU414" s="81"/>
      <c r="AV414" s="81"/>
      <c r="AW414" s="81"/>
      <c r="AX414" s="81"/>
      <c r="AY414" s="81"/>
      <c r="AZ414" s="81"/>
      <c r="BA414" s="81"/>
      <c r="BB414" s="81"/>
      <c r="BC414" s="81"/>
      <c r="BD414" s="81"/>
      <c r="BE414" s="81"/>
      <c r="BF414" s="81"/>
      <c r="BG414" s="81"/>
      <c r="BH414" s="81"/>
      <c r="BI414" s="81"/>
      <c r="BJ414" s="81"/>
      <c r="BK414" s="82">
        <v>0</v>
      </c>
      <c r="BL414" s="82">
        <v>15996.51</v>
      </c>
      <c r="BM414" s="82">
        <v>0</v>
      </c>
      <c r="BN414" s="81">
        <f t="shared" si="1878"/>
        <v>0</v>
      </c>
      <c r="BO414" s="75">
        <f t="shared" si="1879"/>
        <v>0</v>
      </c>
      <c r="BP414" s="81">
        <f t="shared" si="1880"/>
        <v>0</v>
      </c>
      <c r="BQ414" s="81">
        <f t="shared" si="1881"/>
        <v>0</v>
      </c>
      <c r="BR414" s="81">
        <f t="shared" si="1882"/>
        <v>0</v>
      </c>
      <c r="BS414" s="81">
        <f t="shared" si="1883"/>
        <v>0</v>
      </c>
      <c r="BT414" s="81">
        <f t="shared" si="1884"/>
        <v>0</v>
      </c>
      <c r="BU414" s="81">
        <f t="shared" si="1885"/>
        <v>0</v>
      </c>
      <c r="BV414" s="81">
        <f t="shared" si="1886"/>
        <v>0</v>
      </c>
      <c r="BW414" s="81">
        <f t="shared" si="1887"/>
        <v>0</v>
      </c>
      <c r="BX414" s="1"/>
      <c r="BY414" s="1"/>
      <c r="BZ414" s="1"/>
      <c r="CA414" s="1"/>
      <c r="CB414" s="1"/>
      <c r="CC414" s="1"/>
      <c r="CD414" s="1"/>
      <c r="CE414" s="1"/>
      <c r="CF414" s="1"/>
      <c r="CG414" s="1"/>
    </row>
    <row r="415" spans="1:85" ht="15.75" customHeight="1">
      <c r="A415" s="84"/>
      <c r="B415" s="115"/>
      <c r="C415" s="148"/>
      <c r="D415" s="87" t="s">
        <v>745</v>
      </c>
      <c r="E415" s="70"/>
      <c r="F415" s="71"/>
      <c r="G415" s="71">
        <f t="shared" si="1871"/>
        <v>0</v>
      </c>
      <c r="H415" s="70">
        <v>0</v>
      </c>
      <c r="I415" s="72">
        <f t="shared" si="1737"/>
        <v>0</v>
      </c>
      <c r="J415" s="72">
        <f t="shared" si="1738"/>
        <v>0</v>
      </c>
      <c r="K415" s="88"/>
      <c r="L415" s="74"/>
      <c r="M415" s="81"/>
      <c r="N415" s="107"/>
      <c r="O415" s="77">
        <f t="shared" ref="O415:Q415" si="1906">AA415+AD415+AG415+AJ415+AM415+AP415+AS415+AV415+AY415+BB415+BE415+BH415</f>
        <v>0</v>
      </c>
      <c r="P415" s="77">
        <f t="shared" si="1906"/>
        <v>0</v>
      </c>
      <c r="Q415" s="77">
        <f t="shared" si="1906"/>
        <v>0</v>
      </c>
      <c r="R415" s="77">
        <f t="shared" ref="R415:T415" si="1907">IF(BK415=0,SUM(AA415+AD415+AG415+AJ415+AM415+AP415+AS415+AV415+AY415+BB415+BE415+BH415),BK415)</f>
        <v>0</v>
      </c>
      <c r="S415" s="77">
        <f t="shared" si="1907"/>
        <v>0</v>
      </c>
      <c r="T415" s="77">
        <f t="shared" si="1907"/>
        <v>0</v>
      </c>
      <c r="U415" s="79">
        <f t="shared" si="1874"/>
        <v>0</v>
      </c>
      <c r="V415" s="79">
        <f t="shared" si="1875"/>
        <v>0</v>
      </c>
      <c r="W415" s="79">
        <f t="shared" si="1876"/>
        <v>0</v>
      </c>
      <c r="X415" s="80">
        <f t="shared" ref="X415:Y415" si="1908">IF(O415&gt;0,O415/K415,0)</f>
        <v>0</v>
      </c>
      <c r="Y415" s="80">
        <f t="shared" si="1908"/>
        <v>0</v>
      </c>
      <c r="Z415" s="80">
        <f t="shared" si="1518"/>
        <v>0</v>
      </c>
      <c r="AA415" s="81"/>
      <c r="AB415" s="81"/>
      <c r="AC415" s="81"/>
      <c r="AD415" s="81"/>
      <c r="AE415" s="83"/>
      <c r="AF415" s="83"/>
      <c r="AG415" s="83"/>
      <c r="AH415" s="83"/>
      <c r="AI415" s="81"/>
      <c r="AJ415" s="81"/>
      <c r="AK415" s="81"/>
      <c r="AL415" s="81"/>
      <c r="AM415" s="81"/>
      <c r="AN415" s="81"/>
      <c r="AO415" s="81"/>
      <c r="AP415" s="81"/>
      <c r="AQ415" s="81"/>
      <c r="AR415" s="81"/>
      <c r="AS415" s="81"/>
      <c r="AT415" s="81"/>
      <c r="AU415" s="81"/>
      <c r="AV415" s="81"/>
      <c r="AW415" s="81"/>
      <c r="AX415" s="81"/>
      <c r="AY415" s="81"/>
      <c r="AZ415" s="81"/>
      <c r="BA415" s="81"/>
      <c r="BB415" s="81"/>
      <c r="BC415" s="81"/>
      <c r="BD415" s="81"/>
      <c r="BE415" s="81"/>
      <c r="BF415" s="81"/>
      <c r="BG415" s="81"/>
      <c r="BH415" s="81"/>
      <c r="BI415" s="81"/>
      <c r="BJ415" s="81"/>
      <c r="BK415" s="82">
        <v>0</v>
      </c>
      <c r="BL415" s="82">
        <v>0</v>
      </c>
      <c r="BM415" s="82">
        <v>0</v>
      </c>
      <c r="BN415" s="81">
        <f t="shared" si="1878"/>
        <v>0</v>
      </c>
      <c r="BO415" s="75">
        <f t="shared" si="1879"/>
        <v>0</v>
      </c>
      <c r="BP415" s="81">
        <f t="shared" si="1880"/>
        <v>0</v>
      </c>
      <c r="BQ415" s="81">
        <f t="shared" si="1881"/>
        <v>0</v>
      </c>
      <c r="BR415" s="81">
        <f t="shared" si="1882"/>
        <v>0</v>
      </c>
      <c r="BS415" s="81">
        <f t="shared" si="1883"/>
        <v>0</v>
      </c>
      <c r="BT415" s="81">
        <f t="shared" si="1884"/>
        <v>0</v>
      </c>
      <c r="BU415" s="81">
        <f t="shared" si="1885"/>
        <v>0</v>
      </c>
      <c r="BV415" s="81">
        <f t="shared" si="1886"/>
        <v>0</v>
      </c>
      <c r="BW415" s="81">
        <f t="shared" si="1887"/>
        <v>0</v>
      </c>
      <c r="BX415" s="1"/>
      <c r="BY415" s="1"/>
      <c r="BZ415" s="1"/>
      <c r="CA415" s="1"/>
      <c r="CB415" s="1"/>
      <c r="CC415" s="1"/>
      <c r="CD415" s="1"/>
      <c r="CE415" s="1"/>
      <c r="CF415" s="1"/>
      <c r="CG415" s="1"/>
    </row>
    <row r="416" spans="1:85" ht="15.75">
      <c r="A416" s="109"/>
      <c r="B416" s="110"/>
      <c r="C416" s="111"/>
      <c r="D416" s="112" t="s">
        <v>320</v>
      </c>
      <c r="E416" s="58">
        <f t="shared" ref="E416:H416" si="1909">SUM(E417)</f>
        <v>0</v>
      </c>
      <c r="F416" s="59">
        <f t="shared" si="1909"/>
        <v>0</v>
      </c>
      <c r="G416" s="59">
        <f t="shared" si="1909"/>
        <v>0</v>
      </c>
      <c r="H416" s="59">
        <f t="shared" si="1909"/>
        <v>110000</v>
      </c>
      <c r="I416" s="60">
        <f t="shared" si="1737"/>
        <v>0</v>
      </c>
      <c r="J416" s="60">
        <f t="shared" si="1738"/>
        <v>0</v>
      </c>
      <c r="K416" s="59">
        <f t="shared" ref="K416:W416" si="1910">SUM(K417)</f>
        <v>0</v>
      </c>
      <c r="L416" s="59">
        <f t="shared" si="1910"/>
        <v>102194.39</v>
      </c>
      <c r="M416" s="59">
        <f t="shared" si="1910"/>
        <v>0</v>
      </c>
      <c r="N416" s="59">
        <f t="shared" si="1910"/>
        <v>161166.21</v>
      </c>
      <c r="O416" s="59">
        <f t="shared" si="1910"/>
        <v>0</v>
      </c>
      <c r="P416" s="59">
        <f t="shared" si="1910"/>
        <v>102194.39</v>
      </c>
      <c r="Q416" s="59">
        <f t="shared" si="1910"/>
        <v>155086.61000000002</v>
      </c>
      <c r="R416" s="59">
        <f t="shared" si="1910"/>
        <v>0</v>
      </c>
      <c r="S416" s="59">
        <f t="shared" si="1910"/>
        <v>102194.39</v>
      </c>
      <c r="T416" s="59">
        <f t="shared" si="1910"/>
        <v>155086.60999999999</v>
      </c>
      <c r="U416" s="59">
        <f t="shared" si="1910"/>
        <v>0</v>
      </c>
      <c r="V416" s="59">
        <f t="shared" si="1910"/>
        <v>0</v>
      </c>
      <c r="W416" s="59">
        <f t="shared" si="1910"/>
        <v>6079.5999999999767</v>
      </c>
      <c r="X416" s="63">
        <f t="shared" ref="X416:Y416" si="1911">IF(O416&gt;0,O416/K416,0)</f>
        <v>0</v>
      </c>
      <c r="Y416" s="63">
        <f t="shared" si="1911"/>
        <v>1</v>
      </c>
      <c r="Z416" s="63">
        <f t="shared" si="1518"/>
        <v>0.96227745257520181</v>
      </c>
      <c r="AA416" s="59">
        <f t="shared" ref="AA416:BW416" si="1912">SUM(AA417)</f>
        <v>0</v>
      </c>
      <c r="AB416" s="59">
        <f t="shared" si="1912"/>
        <v>0</v>
      </c>
      <c r="AC416" s="59">
        <f t="shared" si="1912"/>
        <v>0</v>
      </c>
      <c r="AD416" s="59">
        <f t="shared" si="1912"/>
        <v>0</v>
      </c>
      <c r="AE416" s="59">
        <f t="shared" si="1912"/>
        <v>0</v>
      </c>
      <c r="AF416" s="59">
        <f t="shared" si="1912"/>
        <v>0</v>
      </c>
      <c r="AG416" s="59">
        <f t="shared" si="1912"/>
        <v>0</v>
      </c>
      <c r="AH416" s="59">
        <f t="shared" si="1912"/>
        <v>0</v>
      </c>
      <c r="AI416" s="59">
        <f t="shared" si="1912"/>
        <v>0</v>
      </c>
      <c r="AJ416" s="59">
        <f t="shared" si="1912"/>
        <v>0</v>
      </c>
      <c r="AK416" s="59">
        <f t="shared" si="1912"/>
        <v>63438.5</v>
      </c>
      <c r="AL416" s="59">
        <f t="shared" si="1912"/>
        <v>0</v>
      </c>
      <c r="AM416" s="59">
        <f t="shared" si="1912"/>
        <v>0</v>
      </c>
      <c r="AN416" s="59">
        <f t="shared" si="1912"/>
        <v>0</v>
      </c>
      <c r="AO416" s="59">
        <f t="shared" si="1912"/>
        <v>0</v>
      </c>
      <c r="AP416" s="59">
        <f t="shared" si="1912"/>
        <v>0</v>
      </c>
      <c r="AQ416" s="59">
        <f t="shared" si="1912"/>
        <v>38755.89</v>
      </c>
      <c r="AR416" s="59">
        <f t="shared" si="1912"/>
        <v>0</v>
      </c>
      <c r="AS416" s="59">
        <f t="shared" si="1912"/>
        <v>0</v>
      </c>
      <c r="AT416" s="59">
        <f t="shared" si="1912"/>
        <v>0</v>
      </c>
      <c r="AU416" s="59">
        <f t="shared" si="1912"/>
        <v>0</v>
      </c>
      <c r="AV416" s="59">
        <f t="shared" si="1912"/>
        <v>0</v>
      </c>
      <c r="AW416" s="59">
        <f t="shared" si="1912"/>
        <v>0</v>
      </c>
      <c r="AX416" s="59">
        <f t="shared" si="1912"/>
        <v>28455.78</v>
      </c>
      <c r="AY416" s="59">
        <f t="shared" si="1912"/>
        <v>0</v>
      </c>
      <c r="AZ416" s="59">
        <f t="shared" si="1912"/>
        <v>0</v>
      </c>
      <c r="BA416" s="59">
        <f t="shared" si="1912"/>
        <v>0</v>
      </c>
      <c r="BB416" s="59">
        <f t="shared" si="1912"/>
        <v>0</v>
      </c>
      <c r="BC416" s="59">
        <f t="shared" si="1912"/>
        <v>0</v>
      </c>
      <c r="BD416" s="59">
        <f t="shared" si="1912"/>
        <v>43748.13</v>
      </c>
      <c r="BE416" s="59">
        <f t="shared" si="1912"/>
        <v>0</v>
      </c>
      <c r="BF416" s="59">
        <f t="shared" si="1912"/>
        <v>0</v>
      </c>
      <c r="BG416" s="59">
        <f t="shared" si="1912"/>
        <v>41394.19</v>
      </c>
      <c r="BH416" s="59">
        <f t="shared" si="1912"/>
        <v>0</v>
      </c>
      <c r="BI416" s="59">
        <f t="shared" si="1912"/>
        <v>0</v>
      </c>
      <c r="BJ416" s="59">
        <f t="shared" si="1912"/>
        <v>41488.51</v>
      </c>
      <c r="BK416" s="59">
        <f t="shared" si="1912"/>
        <v>0</v>
      </c>
      <c r="BL416" s="59">
        <f t="shared" si="1912"/>
        <v>102194.39</v>
      </c>
      <c r="BM416" s="59">
        <f t="shared" si="1912"/>
        <v>155086.60999999999</v>
      </c>
      <c r="BN416" s="59">
        <f t="shared" si="1912"/>
        <v>0</v>
      </c>
      <c r="BO416" s="59">
        <f t="shared" si="1912"/>
        <v>2.9103830456733704E-11</v>
      </c>
      <c r="BP416" s="59">
        <f t="shared" si="1912"/>
        <v>2.9103830456733704E-11</v>
      </c>
      <c r="BQ416" s="59">
        <f t="shared" si="1912"/>
        <v>0</v>
      </c>
      <c r="BR416" s="59">
        <f t="shared" si="1912"/>
        <v>6079.5999999999767</v>
      </c>
      <c r="BS416" s="59">
        <f t="shared" si="1912"/>
        <v>6079.5999999999767</v>
      </c>
      <c r="BT416" s="59">
        <f t="shared" si="1912"/>
        <v>0</v>
      </c>
      <c r="BU416" s="59">
        <f t="shared" si="1912"/>
        <v>2.9103830456733704E-11</v>
      </c>
      <c r="BV416" s="59">
        <f t="shared" si="1912"/>
        <v>6079.5999999999767</v>
      </c>
      <c r="BW416" s="59">
        <f t="shared" si="1912"/>
        <v>6079.6000000000058</v>
      </c>
      <c r="BX416" s="65"/>
      <c r="BY416" s="65"/>
      <c r="BZ416" s="65"/>
      <c r="CA416" s="65"/>
      <c r="CB416" s="65"/>
      <c r="CC416" s="65"/>
      <c r="CD416" s="65"/>
      <c r="CE416" s="65"/>
      <c r="CF416" s="65"/>
      <c r="CG416" s="65"/>
    </row>
    <row r="417" spans="1:85" ht="15.75" customHeight="1">
      <c r="A417" s="176" t="s">
        <v>655</v>
      </c>
      <c r="B417" s="132" t="s">
        <v>746</v>
      </c>
      <c r="C417" s="86" t="s">
        <v>323</v>
      </c>
      <c r="D417" s="87" t="s">
        <v>747</v>
      </c>
      <c r="E417" s="70"/>
      <c r="F417" s="71"/>
      <c r="G417" s="71">
        <f>E417-F417</f>
        <v>0</v>
      </c>
      <c r="H417" s="70">
        <v>110000</v>
      </c>
      <c r="I417" s="72">
        <f t="shared" si="1737"/>
        <v>0</v>
      </c>
      <c r="J417" s="72">
        <f t="shared" si="1738"/>
        <v>0</v>
      </c>
      <c r="K417" s="88"/>
      <c r="L417" s="81">
        <v>102194.39</v>
      </c>
      <c r="M417" s="81"/>
      <c r="N417" s="73">
        <f>110000-29100.03-4801.63-10059.11-37583.45+155472.66-53326.7+1000+45533.64-2250-187.89-6319.5+10876.1+168+6666.38-168-24167.48-586.78</f>
        <v>161166.21</v>
      </c>
      <c r="O417" s="77">
        <f t="shared" ref="O417:Q417" si="1913">AA417+AD417+AG417+AJ417+AM417+AP417+AS417+AV417+AY417+BB417+BE417+BH417</f>
        <v>0</v>
      </c>
      <c r="P417" s="77">
        <f t="shared" si="1913"/>
        <v>102194.39</v>
      </c>
      <c r="Q417" s="77">
        <f t="shared" si="1913"/>
        <v>155086.61000000002</v>
      </c>
      <c r="R417" s="77">
        <f t="shared" ref="R417:T417" si="1914">IF(BK417=0,SUM(AA417+AD417+AG417+AJ417+AM417+AP417+AS417+AV417+AY417+BB417+BE417+BH417),BK417)</f>
        <v>0</v>
      </c>
      <c r="S417" s="77">
        <f t="shared" si="1914"/>
        <v>102194.39</v>
      </c>
      <c r="T417" s="77">
        <f t="shared" si="1914"/>
        <v>155086.60999999999</v>
      </c>
      <c r="U417" s="79">
        <f>K417-O417</f>
        <v>0</v>
      </c>
      <c r="V417" s="79">
        <f>L417-M417-S417</f>
        <v>0</v>
      </c>
      <c r="W417" s="79">
        <f>N417-Q417</f>
        <v>6079.5999999999767</v>
      </c>
      <c r="X417" s="80">
        <f t="shared" ref="X417:Y417" si="1915">IF(O417&gt;0,O417/K417,0)</f>
        <v>0</v>
      </c>
      <c r="Y417" s="80">
        <f t="shared" si="1915"/>
        <v>1</v>
      </c>
      <c r="Z417" s="80">
        <f t="shared" si="1518"/>
        <v>0.96227745257520181</v>
      </c>
      <c r="AA417" s="81"/>
      <c r="AB417" s="81"/>
      <c r="AC417" s="81"/>
      <c r="AD417" s="81"/>
      <c r="AE417" s="83"/>
      <c r="AF417" s="83"/>
      <c r="AG417" s="83"/>
      <c r="AH417" s="83"/>
      <c r="AI417" s="81"/>
      <c r="AJ417" s="81"/>
      <c r="AK417" s="81">
        <f>60207.32+3231.18</f>
        <v>63438.5</v>
      </c>
      <c r="AL417" s="81"/>
      <c r="AM417" s="81"/>
      <c r="AN417" s="81"/>
      <c r="AO417" s="81"/>
      <c r="AP417" s="81"/>
      <c r="AQ417" s="81">
        <f>2810.07+35945.82</f>
        <v>38755.89</v>
      </c>
      <c r="AR417" s="81"/>
      <c r="AS417" s="81"/>
      <c r="AT417" s="81"/>
      <c r="AU417" s="81"/>
      <c r="AV417" s="81"/>
      <c r="AW417" s="81"/>
      <c r="AX417" s="81">
        <f>28445.78+10</f>
        <v>28455.78</v>
      </c>
      <c r="AY417" s="81"/>
      <c r="AZ417" s="81"/>
      <c r="BA417" s="81"/>
      <c r="BB417" s="81"/>
      <c r="BC417" s="81"/>
      <c r="BD417" s="81">
        <f>40716.92+3031.21</f>
        <v>43748.13</v>
      </c>
      <c r="BE417" s="81"/>
      <c r="BF417" s="81"/>
      <c r="BG417" s="81">
        <f>38421.19+2973</f>
        <v>41394.19</v>
      </c>
      <c r="BH417" s="81"/>
      <c r="BI417" s="81"/>
      <c r="BJ417" s="81">
        <f>41488.51</f>
        <v>41488.51</v>
      </c>
      <c r="BK417" s="82">
        <v>0</v>
      </c>
      <c r="BL417" s="82">
        <v>102194.39</v>
      </c>
      <c r="BM417" s="82">
        <v>155086.60999999999</v>
      </c>
      <c r="BN417" s="81">
        <f>IF(O417-BK417&gt;0,O417-BK417,0)</f>
        <v>0</v>
      </c>
      <c r="BO417" s="75">
        <f>IF(Q417-BM417&gt;0,Q417-BM417,0)</f>
        <v>2.9103830456733704E-11</v>
      </c>
      <c r="BP417" s="81">
        <f>IF(BN417+BO417&gt;0,BN417+BO417,0)</f>
        <v>2.9103830456733704E-11</v>
      </c>
      <c r="BQ417" s="81">
        <f>IF(U417=0,0,U417)</f>
        <v>0</v>
      </c>
      <c r="BR417" s="81">
        <f>IF(W417=0,0,W417)</f>
        <v>6079.5999999999767</v>
      </c>
      <c r="BS417" s="81">
        <f>IF(BQ417+BR417&gt;0,BQ417+BR417,0)</f>
        <v>6079.5999999999767</v>
      </c>
      <c r="BT417" s="81">
        <f>IF(V417&gt;0,V417,0)</f>
        <v>0</v>
      </c>
      <c r="BU417" s="81">
        <f>IF(BP417=0,0,BP417)</f>
        <v>2.9103830456733704E-11</v>
      </c>
      <c r="BV417" s="81">
        <f>IF(BS417=0,0,BS417)</f>
        <v>6079.5999999999767</v>
      </c>
      <c r="BW417" s="81">
        <f>IF(BP417+BT417+BV417&gt;0,BP417+BT417+BV417,0)</f>
        <v>6079.6000000000058</v>
      </c>
      <c r="BX417" s="1"/>
      <c r="BY417" s="1"/>
      <c r="BZ417" s="1"/>
      <c r="CA417" s="1"/>
      <c r="CB417" s="1"/>
      <c r="CC417" s="1"/>
      <c r="CD417" s="1"/>
      <c r="CE417" s="1"/>
      <c r="CF417" s="1"/>
      <c r="CG417" s="1"/>
    </row>
    <row r="418" spans="1:85" ht="15.75">
      <c r="A418" s="270"/>
      <c r="B418" s="271"/>
      <c r="C418" s="272"/>
      <c r="D418" s="112" t="s">
        <v>357</v>
      </c>
      <c r="E418" s="286">
        <f t="shared" ref="E418:H418" si="1916">SUM(E419)</f>
        <v>0</v>
      </c>
      <c r="F418" s="362">
        <f t="shared" si="1916"/>
        <v>0</v>
      </c>
      <c r="G418" s="362">
        <f t="shared" si="1916"/>
        <v>0</v>
      </c>
      <c r="H418" s="362">
        <f t="shared" si="1916"/>
        <v>0</v>
      </c>
      <c r="I418" s="287">
        <f t="shared" si="1737"/>
        <v>0</v>
      </c>
      <c r="J418" s="287">
        <f t="shared" si="1738"/>
        <v>0</v>
      </c>
      <c r="K418" s="362">
        <f t="shared" ref="K418:W418" si="1917">SUM(K419)</f>
        <v>0</v>
      </c>
      <c r="L418" s="362">
        <f t="shared" si="1917"/>
        <v>0</v>
      </c>
      <c r="M418" s="362">
        <f t="shared" si="1917"/>
        <v>0</v>
      </c>
      <c r="N418" s="362">
        <f t="shared" si="1917"/>
        <v>1532.71</v>
      </c>
      <c r="O418" s="362">
        <f t="shared" si="1917"/>
        <v>0</v>
      </c>
      <c r="P418" s="362">
        <f t="shared" si="1917"/>
        <v>0</v>
      </c>
      <c r="Q418" s="362">
        <f t="shared" si="1917"/>
        <v>1532.71</v>
      </c>
      <c r="R418" s="362">
        <f t="shared" si="1917"/>
        <v>0</v>
      </c>
      <c r="S418" s="362">
        <f t="shared" si="1917"/>
        <v>0</v>
      </c>
      <c r="T418" s="362">
        <f t="shared" si="1917"/>
        <v>1532.71</v>
      </c>
      <c r="U418" s="362">
        <f t="shared" si="1917"/>
        <v>0</v>
      </c>
      <c r="V418" s="362">
        <f t="shared" si="1917"/>
        <v>0</v>
      </c>
      <c r="W418" s="362">
        <f t="shared" si="1917"/>
        <v>0</v>
      </c>
      <c r="X418" s="288">
        <f t="shared" ref="X418:Y418" si="1918">IF(O418&gt;0,O418/K418,0)</f>
        <v>0</v>
      </c>
      <c r="Y418" s="288">
        <f t="shared" si="1918"/>
        <v>0</v>
      </c>
      <c r="Z418" s="288">
        <f t="shared" si="1518"/>
        <v>1</v>
      </c>
      <c r="AA418" s="362">
        <f t="shared" ref="AA418:BW418" si="1919">SUM(AA419)</f>
        <v>0</v>
      </c>
      <c r="AB418" s="362">
        <f t="shared" si="1919"/>
        <v>0</v>
      </c>
      <c r="AC418" s="362">
        <f t="shared" si="1919"/>
        <v>0</v>
      </c>
      <c r="AD418" s="362">
        <f t="shared" si="1919"/>
        <v>0</v>
      </c>
      <c r="AE418" s="362">
        <f t="shared" si="1919"/>
        <v>0</v>
      </c>
      <c r="AF418" s="362">
        <f t="shared" si="1919"/>
        <v>0</v>
      </c>
      <c r="AG418" s="362">
        <f t="shared" si="1919"/>
        <v>0</v>
      </c>
      <c r="AH418" s="362">
        <f t="shared" si="1919"/>
        <v>0</v>
      </c>
      <c r="AI418" s="362">
        <f t="shared" si="1919"/>
        <v>396.52</v>
      </c>
      <c r="AJ418" s="362">
        <f t="shared" si="1919"/>
        <v>0</v>
      </c>
      <c r="AK418" s="362">
        <f t="shared" si="1919"/>
        <v>0</v>
      </c>
      <c r="AL418" s="362">
        <f t="shared" si="1919"/>
        <v>0</v>
      </c>
      <c r="AM418" s="362">
        <f t="shared" si="1919"/>
        <v>0</v>
      </c>
      <c r="AN418" s="362">
        <f t="shared" si="1919"/>
        <v>0</v>
      </c>
      <c r="AO418" s="362">
        <f t="shared" si="1919"/>
        <v>736.19</v>
      </c>
      <c r="AP418" s="362">
        <f t="shared" si="1919"/>
        <v>0</v>
      </c>
      <c r="AQ418" s="362">
        <f t="shared" si="1919"/>
        <v>0</v>
      </c>
      <c r="AR418" s="362">
        <f t="shared" si="1919"/>
        <v>0</v>
      </c>
      <c r="AS418" s="362">
        <f t="shared" si="1919"/>
        <v>0</v>
      </c>
      <c r="AT418" s="362">
        <f t="shared" si="1919"/>
        <v>0</v>
      </c>
      <c r="AU418" s="362">
        <f t="shared" si="1919"/>
        <v>0</v>
      </c>
      <c r="AV418" s="362">
        <f t="shared" si="1919"/>
        <v>0</v>
      </c>
      <c r="AW418" s="362">
        <f t="shared" si="1919"/>
        <v>0</v>
      </c>
      <c r="AX418" s="362">
        <f t="shared" si="1919"/>
        <v>400</v>
      </c>
      <c r="AY418" s="362">
        <f t="shared" si="1919"/>
        <v>0</v>
      </c>
      <c r="AZ418" s="362">
        <f t="shared" si="1919"/>
        <v>0</v>
      </c>
      <c r="BA418" s="362">
        <f t="shared" si="1919"/>
        <v>0</v>
      </c>
      <c r="BB418" s="362">
        <f t="shared" si="1919"/>
        <v>0</v>
      </c>
      <c r="BC418" s="362">
        <f t="shared" si="1919"/>
        <v>0</v>
      </c>
      <c r="BD418" s="362">
        <f t="shared" si="1919"/>
        <v>0</v>
      </c>
      <c r="BE418" s="362">
        <f t="shared" si="1919"/>
        <v>0</v>
      </c>
      <c r="BF418" s="362">
        <f t="shared" si="1919"/>
        <v>0</v>
      </c>
      <c r="BG418" s="362">
        <f t="shared" si="1919"/>
        <v>0</v>
      </c>
      <c r="BH418" s="362">
        <f t="shared" si="1919"/>
        <v>0</v>
      </c>
      <c r="BI418" s="362">
        <f t="shared" si="1919"/>
        <v>0</v>
      </c>
      <c r="BJ418" s="362">
        <f t="shared" si="1919"/>
        <v>0</v>
      </c>
      <c r="BK418" s="362">
        <f t="shared" si="1919"/>
        <v>0</v>
      </c>
      <c r="BL418" s="362">
        <f t="shared" si="1919"/>
        <v>0</v>
      </c>
      <c r="BM418" s="362">
        <f t="shared" si="1919"/>
        <v>1532.71</v>
      </c>
      <c r="BN418" s="362">
        <f t="shared" si="1919"/>
        <v>0</v>
      </c>
      <c r="BO418" s="362">
        <f t="shared" si="1919"/>
        <v>0</v>
      </c>
      <c r="BP418" s="362">
        <f t="shared" si="1919"/>
        <v>0</v>
      </c>
      <c r="BQ418" s="362">
        <f t="shared" si="1919"/>
        <v>0</v>
      </c>
      <c r="BR418" s="362">
        <f t="shared" si="1919"/>
        <v>0</v>
      </c>
      <c r="BS418" s="362">
        <f t="shared" si="1919"/>
        <v>0</v>
      </c>
      <c r="BT418" s="362">
        <f t="shared" si="1919"/>
        <v>0</v>
      </c>
      <c r="BU418" s="362">
        <f t="shared" si="1919"/>
        <v>0</v>
      </c>
      <c r="BV418" s="362">
        <f t="shared" si="1919"/>
        <v>0</v>
      </c>
      <c r="BW418" s="362">
        <f t="shared" si="1919"/>
        <v>0</v>
      </c>
      <c r="BX418" s="1"/>
      <c r="BY418" s="1"/>
      <c r="BZ418" s="1"/>
      <c r="CA418" s="1"/>
      <c r="CB418" s="1"/>
      <c r="CC418" s="1"/>
      <c r="CD418" s="1"/>
      <c r="CE418" s="1"/>
      <c r="CF418" s="1"/>
      <c r="CG418" s="1"/>
    </row>
    <row r="419" spans="1:85" ht="15.75" customHeight="1">
      <c r="A419" s="125" t="s">
        <v>748</v>
      </c>
      <c r="B419" s="85"/>
      <c r="C419" s="86" t="s">
        <v>359</v>
      </c>
      <c r="D419" s="126" t="s">
        <v>749</v>
      </c>
      <c r="E419" s="70"/>
      <c r="F419" s="71"/>
      <c r="G419" s="71">
        <f>E419-F419</f>
        <v>0</v>
      </c>
      <c r="H419" s="70"/>
      <c r="I419" s="72">
        <f t="shared" si="1737"/>
        <v>0</v>
      </c>
      <c r="J419" s="72">
        <f t="shared" si="1738"/>
        <v>0</v>
      </c>
      <c r="K419" s="73"/>
      <c r="L419" s="81"/>
      <c r="M419" s="81"/>
      <c r="N419" s="73">
        <f>1000+1000-467.29</f>
        <v>1532.71</v>
      </c>
      <c r="O419" s="77">
        <f t="shared" ref="O419:Q419" si="1920">AA419+AD419+AG419+AJ419+AM419+AP419+AS419+AV419+AY419+BB419+BE419+BH419</f>
        <v>0</v>
      </c>
      <c r="P419" s="77">
        <f t="shared" si="1920"/>
        <v>0</v>
      </c>
      <c r="Q419" s="77">
        <f t="shared" si="1920"/>
        <v>1532.71</v>
      </c>
      <c r="R419" s="77">
        <f t="shared" ref="R419:T419" si="1921">IF(BK419=0,SUM(AA419+AD419+AG419+AJ419+AM419+AP419+AS419+AV419+AY419+BB419+BE419+BH419),BK419)</f>
        <v>0</v>
      </c>
      <c r="S419" s="77">
        <f t="shared" si="1921"/>
        <v>0</v>
      </c>
      <c r="T419" s="77">
        <f t="shared" si="1921"/>
        <v>1532.71</v>
      </c>
      <c r="U419" s="79">
        <f>K419-O419</f>
        <v>0</v>
      </c>
      <c r="V419" s="79">
        <f>L419-M419-S419</f>
        <v>0</v>
      </c>
      <c r="W419" s="78">
        <f>N419-Q419</f>
        <v>0</v>
      </c>
      <c r="X419" s="80">
        <f t="shared" ref="X419:Y419" si="1922">IF(O419&gt;0,O419/K419,0)</f>
        <v>0</v>
      </c>
      <c r="Y419" s="80">
        <f t="shared" si="1922"/>
        <v>0</v>
      </c>
      <c r="Z419" s="80">
        <f t="shared" si="1518"/>
        <v>1</v>
      </c>
      <c r="AA419" s="81"/>
      <c r="AB419" s="81"/>
      <c r="AC419" s="81"/>
      <c r="AD419" s="81"/>
      <c r="AE419" s="83"/>
      <c r="AF419" s="83"/>
      <c r="AG419" s="83"/>
      <c r="AH419" s="83"/>
      <c r="AI419" s="82">
        <v>396.52</v>
      </c>
      <c r="AJ419" s="81"/>
      <c r="AK419" s="81"/>
      <c r="AL419" s="81"/>
      <c r="AM419" s="81"/>
      <c r="AN419" s="81"/>
      <c r="AO419" s="82">
        <v>736.19</v>
      </c>
      <c r="AP419" s="81"/>
      <c r="AQ419" s="81"/>
      <c r="AR419" s="81"/>
      <c r="AS419" s="81"/>
      <c r="AT419" s="81"/>
      <c r="AU419" s="81"/>
      <c r="AV419" s="81"/>
      <c r="AW419" s="81"/>
      <c r="AX419" s="81">
        <f>400</f>
        <v>400</v>
      </c>
      <c r="AY419" s="81"/>
      <c r="AZ419" s="81"/>
      <c r="BA419" s="81"/>
      <c r="BB419" s="81"/>
      <c r="BC419" s="81"/>
      <c r="BD419" s="81"/>
      <c r="BE419" s="81"/>
      <c r="BF419" s="81"/>
      <c r="BG419" s="81"/>
      <c r="BH419" s="81"/>
      <c r="BI419" s="81"/>
      <c r="BJ419" s="81"/>
      <c r="BK419" s="82">
        <v>0</v>
      </c>
      <c r="BL419" s="82">
        <v>0</v>
      </c>
      <c r="BM419" s="82">
        <v>1532.71</v>
      </c>
      <c r="BN419" s="81">
        <f>IF(O419-BK419&gt;0,O419-BK419,0)</f>
        <v>0</v>
      </c>
      <c r="BO419" s="75">
        <f>IF(Q419-BM419&gt;0,Q419-BM419,0)</f>
        <v>0</v>
      </c>
      <c r="BP419" s="81">
        <f>IF(BN419+BO419&gt;0,BN419+BO419,0)</f>
        <v>0</v>
      </c>
      <c r="BQ419" s="81">
        <f>IF(U419=0,0,U419)</f>
        <v>0</v>
      </c>
      <c r="BR419" s="81">
        <f>IF(W419=0,0,W419)</f>
        <v>0</v>
      </c>
      <c r="BS419" s="81">
        <f>IF(BQ419+BR419&gt;0,BQ419+BR419,0)</f>
        <v>0</v>
      </c>
      <c r="BT419" s="81">
        <f>IF(V419&gt;0,V419,0)</f>
        <v>0</v>
      </c>
      <c r="BU419" s="81">
        <f>IF(BP419=0,0,BP419)</f>
        <v>0</v>
      </c>
      <c r="BV419" s="81">
        <f>IF(BS419=0,0,BS419)</f>
        <v>0</v>
      </c>
      <c r="BW419" s="81">
        <f>IF(BP419+BT419+BV419&gt;0,BP419+BT419+BV419,0)</f>
        <v>0</v>
      </c>
      <c r="BX419" s="1"/>
      <c r="BY419" s="1"/>
      <c r="BZ419" s="1"/>
      <c r="CA419" s="1"/>
      <c r="CB419" s="1"/>
      <c r="CC419" s="1"/>
      <c r="CD419" s="1"/>
      <c r="CE419" s="1"/>
      <c r="CF419" s="1"/>
      <c r="CG419" s="1"/>
    </row>
    <row r="420" spans="1:85" ht="15.75">
      <c r="A420" s="270"/>
      <c r="B420" s="271"/>
      <c r="C420" s="272"/>
      <c r="D420" s="112" t="s">
        <v>365</v>
      </c>
      <c r="E420" s="286">
        <f t="shared" ref="E420:H420" si="1923">SUM(E421:E423)</f>
        <v>0</v>
      </c>
      <c r="F420" s="286">
        <f t="shared" si="1923"/>
        <v>0</v>
      </c>
      <c r="G420" s="286">
        <f t="shared" si="1923"/>
        <v>0</v>
      </c>
      <c r="H420" s="286">
        <f t="shared" si="1923"/>
        <v>0</v>
      </c>
      <c r="I420" s="287">
        <f t="shared" si="1737"/>
        <v>0</v>
      </c>
      <c r="J420" s="287">
        <f t="shared" si="1738"/>
        <v>0</v>
      </c>
      <c r="K420" s="286">
        <f t="shared" ref="K420:W420" si="1924">SUM(K421:K423)</f>
        <v>0</v>
      </c>
      <c r="L420" s="286">
        <f t="shared" si="1924"/>
        <v>7913.56</v>
      </c>
      <c r="M420" s="286">
        <f t="shared" si="1924"/>
        <v>0</v>
      </c>
      <c r="N420" s="286">
        <f t="shared" si="1924"/>
        <v>0</v>
      </c>
      <c r="O420" s="286">
        <f t="shared" si="1924"/>
        <v>0</v>
      </c>
      <c r="P420" s="286">
        <f t="shared" si="1924"/>
        <v>7913.56</v>
      </c>
      <c r="Q420" s="286">
        <f t="shared" si="1924"/>
        <v>0</v>
      </c>
      <c r="R420" s="286">
        <f t="shared" si="1924"/>
        <v>0</v>
      </c>
      <c r="S420" s="286">
        <f t="shared" si="1924"/>
        <v>7913.56</v>
      </c>
      <c r="T420" s="286">
        <f t="shared" si="1924"/>
        <v>0</v>
      </c>
      <c r="U420" s="286">
        <f t="shared" si="1924"/>
        <v>0</v>
      </c>
      <c r="V420" s="286">
        <f t="shared" si="1924"/>
        <v>0</v>
      </c>
      <c r="W420" s="286">
        <f t="shared" si="1924"/>
        <v>0</v>
      </c>
      <c r="X420" s="288">
        <f t="shared" ref="X420:Y420" si="1925">IF(O420&gt;0,O420/K420,0)</f>
        <v>0</v>
      </c>
      <c r="Y420" s="288">
        <f t="shared" si="1925"/>
        <v>1</v>
      </c>
      <c r="Z420" s="288">
        <f t="shared" si="1518"/>
        <v>0</v>
      </c>
      <c r="AA420" s="286">
        <f t="shared" ref="AA420:BW420" si="1926">SUM(AA421:AA423)</f>
        <v>0</v>
      </c>
      <c r="AB420" s="286">
        <f t="shared" si="1926"/>
        <v>0</v>
      </c>
      <c r="AC420" s="286">
        <f t="shared" si="1926"/>
        <v>0</v>
      </c>
      <c r="AD420" s="286">
        <f t="shared" si="1926"/>
        <v>0</v>
      </c>
      <c r="AE420" s="286">
        <f t="shared" si="1926"/>
        <v>0</v>
      </c>
      <c r="AF420" s="286">
        <f t="shared" si="1926"/>
        <v>0</v>
      </c>
      <c r="AG420" s="286">
        <f t="shared" si="1926"/>
        <v>0</v>
      </c>
      <c r="AH420" s="286">
        <f t="shared" si="1926"/>
        <v>7913.56</v>
      </c>
      <c r="AI420" s="286">
        <f t="shared" si="1926"/>
        <v>0</v>
      </c>
      <c r="AJ420" s="286">
        <f t="shared" si="1926"/>
        <v>0</v>
      </c>
      <c r="AK420" s="286">
        <f t="shared" si="1926"/>
        <v>0</v>
      </c>
      <c r="AL420" s="286">
        <f t="shared" si="1926"/>
        <v>0</v>
      </c>
      <c r="AM420" s="286">
        <f t="shared" si="1926"/>
        <v>0</v>
      </c>
      <c r="AN420" s="286">
        <f t="shared" si="1926"/>
        <v>0</v>
      </c>
      <c r="AO420" s="286">
        <f t="shared" si="1926"/>
        <v>0</v>
      </c>
      <c r="AP420" s="286">
        <f t="shared" si="1926"/>
        <v>0</v>
      </c>
      <c r="AQ420" s="286">
        <f t="shared" si="1926"/>
        <v>0</v>
      </c>
      <c r="AR420" s="286">
        <f t="shared" si="1926"/>
        <v>0</v>
      </c>
      <c r="AS420" s="286">
        <f t="shared" si="1926"/>
        <v>0</v>
      </c>
      <c r="AT420" s="286">
        <f t="shared" si="1926"/>
        <v>0</v>
      </c>
      <c r="AU420" s="286">
        <f t="shared" si="1926"/>
        <v>0</v>
      </c>
      <c r="AV420" s="286">
        <f t="shared" si="1926"/>
        <v>0</v>
      </c>
      <c r="AW420" s="286">
        <f t="shared" si="1926"/>
        <v>0</v>
      </c>
      <c r="AX420" s="286">
        <f t="shared" si="1926"/>
        <v>0</v>
      </c>
      <c r="AY420" s="286">
        <f t="shared" si="1926"/>
        <v>0</v>
      </c>
      <c r="AZ420" s="286">
        <f t="shared" si="1926"/>
        <v>0</v>
      </c>
      <c r="BA420" s="286">
        <f t="shared" si="1926"/>
        <v>0</v>
      </c>
      <c r="BB420" s="286">
        <f t="shared" si="1926"/>
        <v>0</v>
      </c>
      <c r="BC420" s="286">
        <f t="shared" si="1926"/>
        <v>0</v>
      </c>
      <c r="BD420" s="286">
        <f t="shared" si="1926"/>
        <v>0</v>
      </c>
      <c r="BE420" s="286">
        <f t="shared" si="1926"/>
        <v>0</v>
      </c>
      <c r="BF420" s="286">
        <f t="shared" si="1926"/>
        <v>0</v>
      </c>
      <c r="BG420" s="286">
        <f t="shared" si="1926"/>
        <v>0</v>
      </c>
      <c r="BH420" s="286">
        <f t="shared" si="1926"/>
        <v>0</v>
      </c>
      <c r="BI420" s="286">
        <f t="shared" si="1926"/>
        <v>0</v>
      </c>
      <c r="BJ420" s="286">
        <f t="shared" si="1926"/>
        <v>0</v>
      </c>
      <c r="BK420" s="286">
        <f t="shared" si="1926"/>
        <v>0</v>
      </c>
      <c r="BL420" s="286">
        <f t="shared" si="1926"/>
        <v>7913.56</v>
      </c>
      <c r="BM420" s="286">
        <f t="shared" si="1926"/>
        <v>0</v>
      </c>
      <c r="BN420" s="286">
        <f t="shared" si="1926"/>
        <v>0</v>
      </c>
      <c r="BO420" s="286">
        <f t="shared" si="1926"/>
        <v>0</v>
      </c>
      <c r="BP420" s="286">
        <f t="shared" si="1926"/>
        <v>0</v>
      </c>
      <c r="BQ420" s="286">
        <f t="shared" si="1926"/>
        <v>0</v>
      </c>
      <c r="BR420" s="286">
        <f t="shared" si="1926"/>
        <v>0</v>
      </c>
      <c r="BS420" s="286">
        <f t="shared" si="1926"/>
        <v>0</v>
      </c>
      <c r="BT420" s="286">
        <f t="shared" si="1926"/>
        <v>0</v>
      </c>
      <c r="BU420" s="286">
        <f t="shared" si="1926"/>
        <v>0</v>
      </c>
      <c r="BV420" s="286">
        <f t="shared" si="1926"/>
        <v>0</v>
      </c>
      <c r="BW420" s="286">
        <f t="shared" si="1926"/>
        <v>0</v>
      </c>
      <c r="BX420" s="1"/>
      <c r="BY420" s="1"/>
      <c r="BZ420" s="1"/>
      <c r="CA420" s="1"/>
      <c r="CB420" s="1"/>
      <c r="CC420" s="1"/>
      <c r="CD420" s="1"/>
      <c r="CE420" s="1"/>
      <c r="CF420" s="1"/>
      <c r="CG420" s="1"/>
    </row>
    <row r="421" spans="1:85" ht="15.75" customHeight="1">
      <c r="A421" s="84"/>
      <c r="B421" s="115" t="s">
        <v>750</v>
      </c>
      <c r="C421" s="148" t="s">
        <v>370</v>
      </c>
      <c r="D421" s="149" t="s">
        <v>751</v>
      </c>
      <c r="E421" s="70"/>
      <c r="F421" s="71"/>
      <c r="G421" s="71">
        <f t="shared" ref="G421:G423" si="1927">E421-F421</f>
        <v>0</v>
      </c>
      <c r="H421" s="70"/>
      <c r="I421" s="72">
        <f t="shared" si="1737"/>
        <v>0</v>
      </c>
      <c r="J421" s="72">
        <f t="shared" si="1738"/>
        <v>0</v>
      </c>
      <c r="K421" s="88"/>
      <c r="L421" s="74">
        <v>7913.56</v>
      </c>
      <c r="M421" s="81"/>
      <c r="N421" s="107"/>
      <c r="O421" s="77">
        <f t="shared" ref="O421:Q421" si="1928">AA421+AD421+AG421+AJ421+AM421+AP421+AS421+AV421+AY421+BB421+BE421+BH421</f>
        <v>0</v>
      </c>
      <c r="P421" s="77">
        <f t="shared" si="1928"/>
        <v>7913.56</v>
      </c>
      <c r="Q421" s="77">
        <f t="shared" si="1928"/>
        <v>0</v>
      </c>
      <c r="R421" s="77">
        <f t="shared" ref="R421:T421" si="1929">IF(BK421=0,SUM(AA421+AD421+AG421+AJ421+AM421+AP421+AS421+AV421+AY421+BB421+BE421+BH421),BK421)</f>
        <v>0</v>
      </c>
      <c r="S421" s="77">
        <f t="shared" si="1929"/>
        <v>7913.56</v>
      </c>
      <c r="T421" s="77">
        <f t="shared" si="1929"/>
        <v>0</v>
      </c>
      <c r="U421" s="79">
        <f t="shared" ref="U421:U423" si="1930">K421-O421</f>
        <v>0</v>
      </c>
      <c r="V421" s="79">
        <f t="shared" ref="V421:V423" si="1931">L421-M421-S421</f>
        <v>0</v>
      </c>
      <c r="W421" s="79">
        <f t="shared" ref="W421:W423" si="1932">N421-Q421</f>
        <v>0</v>
      </c>
      <c r="X421" s="80">
        <f t="shared" ref="X421:Y421" si="1933">IF(O421&gt;0,O421/K421,0)</f>
        <v>0</v>
      </c>
      <c r="Y421" s="80">
        <f t="shared" si="1933"/>
        <v>1</v>
      </c>
      <c r="Z421" s="80">
        <f t="shared" si="1518"/>
        <v>0</v>
      </c>
      <c r="AA421" s="81"/>
      <c r="AB421" s="81"/>
      <c r="AC421" s="81"/>
      <c r="AD421" s="81"/>
      <c r="AE421" s="83"/>
      <c r="AF421" s="83"/>
      <c r="AG421" s="83"/>
      <c r="AH421" s="128">
        <v>7913.56</v>
      </c>
      <c r="AI421" s="81"/>
      <c r="AJ421" s="81"/>
      <c r="AK421" s="81"/>
      <c r="AL421" s="81"/>
      <c r="AM421" s="81"/>
      <c r="AN421" s="81"/>
      <c r="AO421" s="81"/>
      <c r="AP421" s="81"/>
      <c r="AQ421" s="81"/>
      <c r="AR421" s="81"/>
      <c r="AS421" s="81"/>
      <c r="AT421" s="81"/>
      <c r="AU421" s="81"/>
      <c r="AV421" s="81"/>
      <c r="AW421" s="81"/>
      <c r="AX421" s="81"/>
      <c r="AY421" s="81"/>
      <c r="AZ421" s="81"/>
      <c r="BA421" s="81"/>
      <c r="BB421" s="81"/>
      <c r="BC421" s="81"/>
      <c r="BD421" s="81"/>
      <c r="BE421" s="81"/>
      <c r="BF421" s="81"/>
      <c r="BG421" s="81"/>
      <c r="BH421" s="81"/>
      <c r="BI421" s="81"/>
      <c r="BJ421" s="81"/>
      <c r="BK421" s="82">
        <v>0</v>
      </c>
      <c r="BL421" s="82">
        <v>7913.56</v>
      </c>
      <c r="BM421" s="82">
        <v>0</v>
      </c>
      <c r="BN421" s="81">
        <f t="shared" ref="BN421:BN423" si="1934">IF(O421-BK421&gt;0,O421-BK421,0)</f>
        <v>0</v>
      </c>
      <c r="BO421" s="75">
        <f t="shared" ref="BO421:BO423" si="1935">IF(Q421-BM421&gt;0,Q421-BM421,0)</f>
        <v>0</v>
      </c>
      <c r="BP421" s="81">
        <f t="shared" ref="BP421:BP423" si="1936">IF(BN421+BO421&gt;0,BN421+BO421,0)</f>
        <v>0</v>
      </c>
      <c r="BQ421" s="81">
        <f t="shared" ref="BQ421:BQ423" si="1937">IF(U421=0,0,U421)</f>
        <v>0</v>
      </c>
      <c r="BR421" s="81">
        <f t="shared" ref="BR421:BR423" si="1938">IF(W421=0,0,W421)</f>
        <v>0</v>
      </c>
      <c r="BS421" s="81">
        <f t="shared" ref="BS421:BS423" si="1939">IF(BQ421+BR421&gt;0,BQ421+BR421,0)</f>
        <v>0</v>
      </c>
      <c r="BT421" s="81">
        <f t="shared" ref="BT421:BT423" si="1940">IF(V421&gt;0,V421,0)</f>
        <v>0</v>
      </c>
      <c r="BU421" s="81">
        <f t="shared" ref="BU421:BU423" si="1941">IF(BP421=0,0,BP421)</f>
        <v>0</v>
      </c>
      <c r="BV421" s="81">
        <f t="shared" ref="BV421:BV423" si="1942">IF(BS421=0,0,BS421)</f>
        <v>0</v>
      </c>
      <c r="BW421" s="81">
        <f t="shared" ref="BW421:BW423" si="1943">IF(BP421+BT421+BV421&gt;0,BP421+BT421+BV421,0)</f>
        <v>0</v>
      </c>
      <c r="BX421" s="1"/>
      <c r="BY421" s="1"/>
      <c r="BZ421" s="1"/>
      <c r="CA421" s="1"/>
      <c r="CB421" s="1"/>
      <c r="CC421" s="1"/>
      <c r="CD421" s="1"/>
      <c r="CE421" s="1"/>
      <c r="CF421" s="1"/>
      <c r="CG421" s="1"/>
    </row>
    <row r="422" spans="1:85" ht="15.75" customHeight="1">
      <c r="A422" s="84"/>
      <c r="B422" s="115"/>
      <c r="C422" s="148" t="s">
        <v>370</v>
      </c>
      <c r="D422" s="149" t="s">
        <v>752</v>
      </c>
      <c r="E422" s="70"/>
      <c r="F422" s="71"/>
      <c r="G422" s="71">
        <f t="shared" si="1927"/>
        <v>0</v>
      </c>
      <c r="H422" s="70"/>
      <c r="I422" s="72">
        <f t="shared" si="1737"/>
        <v>0</v>
      </c>
      <c r="J422" s="72">
        <f t="shared" si="1738"/>
        <v>0</v>
      </c>
      <c r="K422" s="88"/>
      <c r="L422" s="74"/>
      <c r="M422" s="81"/>
      <c r="N422" s="107"/>
      <c r="O422" s="77">
        <f t="shared" ref="O422:Q422" si="1944">AA422+AD422+AG422+AJ422+AM422+AP422+AS422+AV422+AY422+BB422+BE422+BH422</f>
        <v>0</v>
      </c>
      <c r="P422" s="77">
        <f t="shared" si="1944"/>
        <v>0</v>
      </c>
      <c r="Q422" s="77">
        <f t="shared" si="1944"/>
        <v>0</v>
      </c>
      <c r="R422" s="77">
        <f t="shared" ref="R422:T422" si="1945">IF(BK422=0,SUM(AA422+AD422+AG422+AJ422+AM422+AP422+AS422+AV422+AY422+BB422+BE422+BH422),BK422)</f>
        <v>0</v>
      </c>
      <c r="S422" s="77">
        <f t="shared" si="1945"/>
        <v>0</v>
      </c>
      <c r="T422" s="77">
        <f t="shared" si="1945"/>
        <v>0</v>
      </c>
      <c r="U422" s="79">
        <f t="shared" si="1930"/>
        <v>0</v>
      </c>
      <c r="V422" s="79">
        <f t="shared" si="1931"/>
        <v>0</v>
      </c>
      <c r="W422" s="79">
        <f t="shared" si="1932"/>
        <v>0</v>
      </c>
      <c r="X422" s="80">
        <f t="shared" ref="X422:Y422" si="1946">IF(O422&gt;0,O422/K422,0)</f>
        <v>0</v>
      </c>
      <c r="Y422" s="80">
        <f t="shared" si="1946"/>
        <v>0</v>
      </c>
      <c r="Z422" s="80">
        <f t="shared" si="1518"/>
        <v>0</v>
      </c>
      <c r="AA422" s="81"/>
      <c r="AB422" s="81"/>
      <c r="AC422" s="81"/>
      <c r="AD422" s="81"/>
      <c r="AE422" s="83"/>
      <c r="AF422" s="83"/>
      <c r="AG422" s="83"/>
      <c r="AH422" s="83"/>
      <c r="AI422" s="81"/>
      <c r="AJ422" s="81"/>
      <c r="AK422" s="81"/>
      <c r="AL422" s="81"/>
      <c r="AM422" s="81"/>
      <c r="AN422" s="81"/>
      <c r="AO422" s="81"/>
      <c r="AP422" s="81"/>
      <c r="AQ422" s="81"/>
      <c r="AR422" s="81"/>
      <c r="AS422" s="81"/>
      <c r="AT422" s="81"/>
      <c r="AU422" s="81"/>
      <c r="AV422" s="81"/>
      <c r="AW422" s="81"/>
      <c r="AX422" s="81"/>
      <c r="AY422" s="81"/>
      <c r="AZ422" s="81"/>
      <c r="BA422" s="81"/>
      <c r="BB422" s="81"/>
      <c r="BC422" s="81"/>
      <c r="BD422" s="81"/>
      <c r="BE422" s="81"/>
      <c r="BF422" s="81"/>
      <c r="BG422" s="81"/>
      <c r="BH422" s="81"/>
      <c r="BI422" s="81"/>
      <c r="BJ422" s="81"/>
      <c r="BK422" s="82">
        <v>0</v>
      </c>
      <c r="BL422" s="82">
        <v>0</v>
      </c>
      <c r="BM422" s="82">
        <v>0</v>
      </c>
      <c r="BN422" s="81">
        <f t="shared" si="1934"/>
        <v>0</v>
      </c>
      <c r="BO422" s="75">
        <f t="shared" si="1935"/>
        <v>0</v>
      </c>
      <c r="BP422" s="81">
        <f t="shared" si="1936"/>
        <v>0</v>
      </c>
      <c r="BQ422" s="81">
        <f t="shared" si="1937"/>
        <v>0</v>
      </c>
      <c r="BR422" s="81">
        <f t="shared" si="1938"/>
        <v>0</v>
      </c>
      <c r="BS422" s="81">
        <f t="shared" si="1939"/>
        <v>0</v>
      </c>
      <c r="BT422" s="81">
        <f t="shared" si="1940"/>
        <v>0</v>
      </c>
      <c r="BU422" s="81">
        <f t="shared" si="1941"/>
        <v>0</v>
      </c>
      <c r="BV422" s="81">
        <f t="shared" si="1942"/>
        <v>0</v>
      </c>
      <c r="BW422" s="81">
        <f t="shared" si="1943"/>
        <v>0</v>
      </c>
      <c r="BX422" s="1"/>
      <c r="BY422" s="1"/>
      <c r="BZ422" s="1"/>
      <c r="CA422" s="1"/>
      <c r="CB422" s="1"/>
      <c r="CC422" s="1"/>
      <c r="CD422" s="1"/>
      <c r="CE422" s="1"/>
      <c r="CF422" s="1"/>
      <c r="CG422" s="1"/>
    </row>
    <row r="423" spans="1:85" ht="15.75" customHeight="1">
      <c r="A423" s="108"/>
      <c r="B423" s="90"/>
      <c r="C423" s="363" t="s">
        <v>370</v>
      </c>
      <c r="D423" s="364" t="s">
        <v>752</v>
      </c>
      <c r="E423" s="70"/>
      <c r="F423" s="71"/>
      <c r="G423" s="71">
        <f t="shared" si="1927"/>
        <v>0</v>
      </c>
      <c r="H423" s="70"/>
      <c r="I423" s="72">
        <f t="shared" si="1737"/>
        <v>0</v>
      </c>
      <c r="J423" s="72">
        <f t="shared" si="1738"/>
        <v>0</v>
      </c>
      <c r="K423" s="88"/>
      <c r="L423" s="74"/>
      <c r="M423" s="81"/>
      <c r="N423" s="107"/>
      <c r="O423" s="77">
        <f t="shared" ref="O423:Q423" si="1947">AA423+AD423+AG423+AJ423+AM423+AP423+AS423+AV423+AY423+BB423+BE423+BH423</f>
        <v>0</v>
      </c>
      <c r="P423" s="77">
        <f t="shared" si="1947"/>
        <v>0</v>
      </c>
      <c r="Q423" s="77">
        <f t="shared" si="1947"/>
        <v>0</v>
      </c>
      <c r="R423" s="77">
        <f t="shared" ref="R423:T423" si="1948">IF(BK423=0,SUM(AA423+AD423+AG423+AJ423+AM423+AP423+AS423+AV423+AY423+BB423+BE423+BH423),BK423)</f>
        <v>0</v>
      </c>
      <c r="S423" s="77">
        <f t="shared" si="1948"/>
        <v>0</v>
      </c>
      <c r="T423" s="77">
        <f t="shared" si="1948"/>
        <v>0</v>
      </c>
      <c r="U423" s="79">
        <f t="shared" si="1930"/>
        <v>0</v>
      </c>
      <c r="V423" s="79">
        <f t="shared" si="1931"/>
        <v>0</v>
      </c>
      <c r="W423" s="79">
        <f t="shared" si="1932"/>
        <v>0</v>
      </c>
      <c r="X423" s="80">
        <f t="shared" ref="X423:Y423" si="1949">IF(O423&gt;0,O423/K423,0)</f>
        <v>0</v>
      </c>
      <c r="Y423" s="80">
        <f t="shared" si="1949"/>
        <v>0</v>
      </c>
      <c r="Z423" s="80">
        <f t="shared" si="1518"/>
        <v>0</v>
      </c>
      <c r="AA423" s="81"/>
      <c r="AB423" s="81"/>
      <c r="AC423" s="81"/>
      <c r="AD423" s="81"/>
      <c r="AE423" s="83"/>
      <c r="AF423" s="83"/>
      <c r="AG423" s="83"/>
      <c r="AH423" s="83"/>
      <c r="AI423" s="81"/>
      <c r="AJ423" s="81"/>
      <c r="AK423" s="81"/>
      <c r="AL423" s="81"/>
      <c r="AM423" s="81"/>
      <c r="AN423" s="81"/>
      <c r="AO423" s="81"/>
      <c r="AP423" s="81"/>
      <c r="AQ423" s="81"/>
      <c r="AR423" s="81"/>
      <c r="AS423" s="81"/>
      <c r="AT423" s="81"/>
      <c r="AU423" s="81"/>
      <c r="AV423" s="81"/>
      <c r="AW423" s="81"/>
      <c r="AX423" s="81"/>
      <c r="AY423" s="81"/>
      <c r="AZ423" s="81"/>
      <c r="BA423" s="81"/>
      <c r="BB423" s="81"/>
      <c r="BC423" s="81"/>
      <c r="BD423" s="81"/>
      <c r="BE423" s="81"/>
      <c r="BF423" s="81"/>
      <c r="BG423" s="81"/>
      <c r="BH423" s="81"/>
      <c r="BI423" s="81"/>
      <c r="BJ423" s="81"/>
      <c r="BK423" s="82">
        <v>0</v>
      </c>
      <c r="BL423" s="82">
        <v>0</v>
      </c>
      <c r="BM423" s="82">
        <v>0</v>
      </c>
      <c r="BN423" s="81">
        <f t="shared" si="1934"/>
        <v>0</v>
      </c>
      <c r="BO423" s="75">
        <f t="shared" si="1935"/>
        <v>0</v>
      </c>
      <c r="BP423" s="81">
        <f t="shared" si="1936"/>
        <v>0</v>
      </c>
      <c r="BQ423" s="81">
        <f t="shared" si="1937"/>
        <v>0</v>
      </c>
      <c r="BR423" s="81">
        <f t="shared" si="1938"/>
        <v>0</v>
      </c>
      <c r="BS423" s="81">
        <f t="shared" si="1939"/>
        <v>0</v>
      </c>
      <c r="BT423" s="81">
        <f t="shared" si="1940"/>
        <v>0</v>
      </c>
      <c r="BU423" s="81">
        <f t="shared" si="1941"/>
        <v>0</v>
      </c>
      <c r="BV423" s="81">
        <f t="shared" si="1942"/>
        <v>0</v>
      </c>
      <c r="BW423" s="81">
        <f t="shared" si="1943"/>
        <v>0</v>
      </c>
      <c r="BX423" s="1"/>
      <c r="BY423" s="1"/>
      <c r="BZ423" s="1"/>
      <c r="CA423" s="1"/>
      <c r="CB423" s="1"/>
      <c r="CC423" s="1"/>
      <c r="CD423" s="1"/>
      <c r="CE423" s="1"/>
      <c r="CF423" s="1"/>
      <c r="CG423" s="1"/>
    </row>
    <row r="424" spans="1:85" ht="15.75" customHeight="1">
      <c r="A424" s="326"/>
      <c r="B424" s="354"/>
      <c r="C424" s="328"/>
      <c r="D424" s="329" t="s">
        <v>753</v>
      </c>
      <c r="E424" s="330">
        <f t="shared" ref="E424:H424" si="1950">E425</f>
        <v>0</v>
      </c>
      <c r="F424" s="344">
        <f t="shared" si="1950"/>
        <v>0</v>
      </c>
      <c r="G424" s="344">
        <f t="shared" si="1950"/>
        <v>0</v>
      </c>
      <c r="H424" s="344">
        <f t="shared" si="1950"/>
        <v>200000</v>
      </c>
      <c r="I424" s="331">
        <f t="shared" si="1737"/>
        <v>0</v>
      </c>
      <c r="J424" s="331">
        <f t="shared" si="1738"/>
        <v>0</v>
      </c>
      <c r="K424" s="344">
        <f t="shared" ref="K424:W424" si="1951">K425</f>
        <v>0</v>
      </c>
      <c r="L424" s="344">
        <f t="shared" si="1951"/>
        <v>228990</v>
      </c>
      <c r="M424" s="344">
        <f t="shared" si="1951"/>
        <v>5162.45</v>
      </c>
      <c r="N424" s="344">
        <f t="shared" si="1951"/>
        <v>203313.7</v>
      </c>
      <c r="O424" s="344">
        <f t="shared" si="1951"/>
        <v>0</v>
      </c>
      <c r="P424" s="344">
        <f t="shared" si="1951"/>
        <v>223827.55</v>
      </c>
      <c r="Q424" s="344">
        <f t="shared" si="1951"/>
        <v>133053.9</v>
      </c>
      <c r="R424" s="344">
        <f t="shared" si="1951"/>
        <v>0</v>
      </c>
      <c r="S424" s="344">
        <f t="shared" si="1951"/>
        <v>223827.55</v>
      </c>
      <c r="T424" s="344">
        <f t="shared" si="1951"/>
        <v>133053.9</v>
      </c>
      <c r="U424" s="344">
        <f t="shared" si="1951"/>
        <v>0</v>
      </c>
      <c r="V424" s="344">
        <f t="shared" si="1951"/>
        <v>0</v>
      </c>
      <c r="W424" s="344">
        <f t="shared" si="1951"/>
        <v>70259.799999999988</v>
      </c>
      <c r="X424" s="332">
        <f t="shared" ref="X424:Y424" si="1952">IF(O424&gt;0,O424/K424,0)</f>
        <v>0</v>
      </c>
      <c r="Y424" s="332">
        <f t="shared" si="1952"/>
        <v>0.97745556574522896</v>
      </c>
      <c r="Z424" s="332">
        <f t="shared" si="1518"/>
        <v>0.65442663234204079</v>
      </c>
      <c r="AA424" s="344">
        <f t="shared" ref="AA424:BW424" si="1953">AA425</f>
        <v>0</v>
      </c>
      <c r="AB424" s="344">
        <f t="shared" si="1953"/>
        <v>0</v>
      </c>
      <c r="AC424" s="344">
        <f t="shared" si="1953"/>
        <v>0</v>
      </c>
      <c r="AD424" s="344">
        <f t="shared" si="1953"/>
        <v>0</v>
      </c>
      <c r="AE424" s="344">
        <f t="shared" si="1953"/>
        <v>10952.039999999999</v>
      </c>
      <c r="AF424" s="344">
        <f t="shared" si="1953"/>
        <v>0</v>
      </c>
      <c r="AG424" s="344">
        <f t="shared" si="1953"/>
        <v>0</v>
      </c>
      <c r="AH424" s="344">
        <f t="shared" si="1953"/>
        <v>10336.6</v>
      </c>
      <c r="AI424" s="344">
        <f t="shared" si="1953"/>
        <v>0</v>
      </c>
      <c r="AJ424" s="344">
        <f t="shared" si="1953"/>
        <v>0</v>
      </c>
      <c r="AK424" s="344">
        <f t="shared" si="1953"/>
        <v>44781.740000000005</v>
      </c>
      <c r="AL424" s="344">
        <f t="shared" si="1953"/>
        <v>9540.2999999999993</v>
      </c>
      <c r="AM424" s="344">
        <f t="shared" si="1953"/>
        <v>0</v>
      </c>
      <c r="AN424" s="344">
        <f t="shared" si="1953"/>
        <v>3682.2</v>
      </c>
      <c r="AO424" s="344">
        <f t="shared" si="1953"/>
        <v>15795.2</v>
      </c>
      <c r="AP424" s="344">
        <f t="shared" si="1953"/>
        <v>0</v>
      </c>
      <c r="AQ424" s="344">
        <f t="shared" si="1953"/>
        <v>27027.84</v>
      </c>
      <c r="AR424" s="344">
        <f t="shared" si="1953"/>
        <v>36619.600000000006</v>
      </c>
      <c r="AS424" s="344">
        <f t="shared" si="1953"/>
        <v>0</v>
      </c>
      <c r="AT424" s="344">
        <f t="shared" si="1953"/>
        <v>15469.89</v>
      </c>
      <c r="AU424" s="344">
        <f t="shared" si="1953"/>
        <v>42131</v>
      </c>
      <c r="AV424" s="344">
        <f t="shared" si="1953"/>
        <v>0</v>
      </c>
      <c r="AW424" s="344">
        <f t="shared" si="1953"/>
        <v>20577.559999999998</v>
      </c>
      <c r="AX424" s="344">
        <f t="shared" si="1953"/>
        <v>10113.5</v>
      </c>
      <c r="AY424" s="344">
        <f t="shared" si="1953"/>
        <v>0</v>
      </c>
      <c r="AZ424" s="344">
        <f t="shared" si="1953"/>
        <v>20662.77</v>
      </c>
      <c r="BA424" s="344">
        <f t="shared" si="1953"/>
        <v>1405</v>
      </c>
      <c r="BB424" s="344">
        <f t="shared" si="1953"/>
        <v>0</v>
      </c>
      <c r="BC424" s="344">
        <f t="shared" si="1953"/>
        <v>25404.28</v>
      </c>
      <c r="BD424" s="344">
        <f t="shared" si="1953"/>
        <v>0</v>
      </c>
      <c r="BE424" s="344">
        <f t="shared" si="1953"/>
        <v>0</v>
      </c>
      <c r="BF424" s="344">
        <f t="shared" si="1953"/>
        <v>9615.35</v>
      </c>
      <c r="BG424" s="344">
        <f t="shared" si="1953"/>
        <v>1635.7</v>
      </c>
      <c r="BH424" s="344">
        <f t="shared" si="1953"/>
        <v>0</v>
      </c>
      <c r="BI424" s="344">
        <f t="shared" si="1953"/>
        <v>35317.279999999999</v>
      </c>
      <c r="BJ424" s="344">
        <f t="shared" si="1953"/>
        <v>15813.6</v>
      </c>
      <c r="BK424" s="344">
        <f t="shared" si="1953"/>
        <v>0</v>
      </c>
      <c r="BL424" s="344">
        <f t="shared" si="1953"/>
        <v>223827.55</v>
      </c>
      <c r="BM424" s="344">
        <f t="shared" si="1953"/>
        <v>133053.9</v>
      </c>
      <c r="BN424" s="344">
        <f t="shared" si="1953"/>
        <v>0</v>
      </c>
      <c r="BO424" s="344">
        <f t="shared" si="1953"/>
        <v>0</v>
      </c>
      <c r="BP424" s="344">
        <f t="shared" si="1953"/>
        <v>0</v>
      </c>
      <c r="BQ424" s="344">
        <f t="shared" si="1953"/>
        <v>0</v>
      </c>
      <c r="BR424" s="344">
        <f t="shared" si="1953"/>
        <v>70259.799999999988</v>
      </c>
      <c r="BS424" s="344">
        <f t="shared" si="1953"/>
        <v>70259.799999999988</v>
      </c>
      <c r="BT424" s="344">
        <f t="shared" si="1953"/>
        <v>0</v>
      </c>
      <c r="BU424" s="344">
        <f t="shared" si="1953"/>
        <v>0</v>
      </c>
      <c r="BV424" s="344">
        <f t="shared" si="1953"/>
        <v>70259.799999999988</v>
      </c>
      <c r="BW424" s="344">
        <f t="shared" si="1953"/>
        <v>70259.799999999988</v>
      </c>
      <c r="BX424" s="1"/>
      <c r="BY424" s="1"/>
      <c r="BZ424" s="1"/>
      <c r="CA424" s="1"/>
      <c r="CB424" s="1"/>
      <c r="CC424" s="1"/>
      <c r="CD424" s="1"/>
      <c r="CE424" s="1"/>
      <c r="CF424" s="1"/>
      <c r="CG424" s="1"/>
    </row>
    <row r="425" spans="1:85" ht="15.75">
      <c r="A425" s="54"/>
      <c r="B425" s="55"/>
      <c r="C425" s="56"/>
      <c r="D425" s="57" t="s">
        <v>754</v>
      </c>
      <c r="E425" s="58">
        <f t="shared" ref="E425:H425" si="1954">SUM(E426+E436)</f>
        <v>0</v>
      </c>
      <c r="F425" s="58">
        <f t="shared" si="1954"/>
        <v>0</v>
      </c>
      <c r="G425" s="58">
        <f t="shared" si="1954"/>
        <v>0</v>
      </c>
      <c r="H425" s="58">
        <f t="shared" si="1954"/>
        <v>200000</v>
      </c>
      <c r="I425" s="60">
        <f t="shared" si="1737"/>
        <v>0</v>
      </c>
      <c r="J425" s="60">
        <f t="shared" si="1738"/>
        <v>0</v>
      </c>
      <c r="K425" s="58">
        <f t="shared" ref="K425:W425" si="1955">SUM(K426+K436)</f>
        <v>0</v>
      </c>
      <c r="L425" s="58">
        <f t="shared" si="1955"/>
        <v>228990</v>
      </c>
      <c r="M425" s="58">
        <f t="shared" si="1955"/>
        <v>5162.45</v>
      </c>
      <c r="N425" s="58">
        <f t="shared" si="1955"/>
        <v>203313.7</v>
      </c>
      <c r="O425" s="58">
        <f t="shared" si="1955"/>
        <v>0</v>
      </c>
      <c r="P425" s="58">
        <f t="shared" si="1955"/>
        <v>223827.55</v>
      </c>
      <c r="Q425" s="58">
        <f t="shared" si="1955"/>
        <v>133053.9</v>
      </c>
      <c r="R425" s="58">
        <f t="shared" si="1955"/>
        <v>0</v>
      </c>
      <c r="S425" s="58">
        <f t="shared" si="1955"/>
        <v>223827.55</v>
      </c>
      <c r="T425" s="58">
        <f t="shared" si="1955"/>
        <v>133053.9</v>
      </c>
      <c r="U425" s="58">
        <f t="shared" si="1955"/>
        <v>0</v>
      </c>
      <c r="V425" s="58">
        <f t="shared" si="1955"/>
        <v>0</v>
      </c>
      <c r="W425" s="58">
        <f t="shared" si="1955"/>
        <v>70259.799999999988</v>
      </c>
      <c r="X425" s="63">
        <f t="shared" ref="X425:Y425" si="1956">IF(O425&gt;0,O425/K425,0)</f>
        <v>0</v>
      </c>
      <c r="Y425" s="63">
        <f t="shared" si="1956"/>
        <v>0.97745556574522896</v>
      </c>
      <c r="Z425" s="63">
        <f t="shared" si="1518"/>
        <v>0.65442663234204079</v>
      </c>
      <c r="AA425" s="58">
        <f t="shared" ref="AA425:BW425" si="1957">SUM(AA426+AA436)</f>
        <v>0</v>
      </c>
      <c r="AB425" s="58">
        <f t="shared" si="1957"/>
        <v>0</v>
      </c>
      <c r="AC425" s="58">
        <f t="shared" si="1957"/>
        <v>0</v>
      </c>
      <c r="AD425" s="58">
        <f t="shared" si="1957"/>
        <v>0</v>
      </c>
      <c r="AE425" s="58">
        <f t="shared" si="1957"/>
        <v>10952.039999999999</v>
      </c>
      <c r="AF425" s="58">
        <f t="shared" si="1957"/>
        <v>0</v>
      </c>
      <c r="AG425" s="58">
        <f t="shared" si="1957"/>
        <v>0</v>
      </c>
      <c r="AH425" s="58">
        <f t="shared" si="1957"/>
        <v>10336.6</v>
      </c>
      <c r="AI425" s="58">
        <f t="shared" si="1957"/>
        <v>0</v>
      </c>
      <c r="AJ425" s="58">
        <f t="shared" si="1957"/>
        <v>0</v>
      </c>
      <c r="AK425" s="58">
        <f t="shared" si="1957"/>
        <v>44781.740000000005</v>
      </c>
      <c r="AL425" s="58">
        <f t="shared" si="1957"/>
        <v>9540.2999999999993</v>
      </c>
      <c r="AM425" s="58">
        <f t="shared" si="1957"/>
        <v>0</v>
      </c>
      <c r="AN425" s="58">
        <f t="shared" si="1957"/>
        <v>3682.2</v>
      </c>
      <c r="AO425" s="58">
        <f t="shared" si="1957"/>
        <v>15795.2</v>
      </c>
      <c r="AP425" s="58">
        <f t="shared" si="1957"/>
        <v>0</v>
      </c>
      <c r="AQ425" s="58">
        <f t="shared" si="1957"/>
        <v>27027.84</v>
      </c>
      <c r="AR425" s="58">
        <f t="shared" si="1957"/>
        <v>36619.600000000006</v>
      </c>
      <c r="AS425" s="58">
        <f t="shared" si="1957"/>
        <v>0</v>
      </c>
      <c r="AT425" s="58">
        <f t="shared" si="1957"/>
        <v>15469.89</v>
      </c>
      <c r="AU425" s="58">
        <f t="shared" si="1957"/>
        <v>42131</v>
      </c>
      <c r="AV425" s="58">
        <f t="shared" si="1957"/>
        <v>0</v>
      </c>
      <c r="AW425" s="58">
        <f t="shared" si="1957"/>
        <v>20577.559999999998</v>
      </c>
      <c r="AX425" s="58">
        <f t="shared" si="1957"/>
        <v>10113.5</v>
      </c>
      <c r="AY425" s="58">
        <f t="shared" si="1957"/>
        <v>0</v>
      </c>
      <c r="AZ425" s="58">
        <f t="shared" si="1957"/>
        <v>20662.77</v>
      </c>
      <c r="BA425" s="58">
        <f t="shared" si="1957"/>
        <v>1405</v>
      </c>
      <c r="BB425" s="58">
        <f t="shared" si="1957"/>
        <v>0</v>
      </c>
      <c r="BC425" s="58">
        <f t="shared" si="1957"/>
        <v>25404.28</v>
      </c>
      <c r="BD425" s="58">
        <f t="shared" si="1957"/>
        <v>0</v>
      </c>
      <c r="BE425" s="58">
        <f t="shared" si="1957"/>
        <v>0</v>
      </c>
      <c r="BF425" s="58">
        <f t="shared" si="1957"/>
        <v>9615.35</v>
      </c>
      <c r="BG425" s="58">
        <f t="shared" si="1957"/>
        <v>1635.7</v>
      </c>
      <c r="BH425" s="58">
        <f t="shared" si="1957"/>
        <v>0</v>
      </c>
      <c r="BI425" s="58">
        <f t="shared" si="1957"/>
        <v>35317.279999999999</v>
      </c>
      <c r="BJ425" s="58">
        <f t="shared" si="1957"/>
        <v>15813.6</v>
      </c>
      <c r="BK425" s="58">
        <f t="shared" si="1957"/>
        <v>0</v>
      </c>
      <c r="BL425" s="58">
        <f t="shared" si="1957"/>
        <v>223827.55</v>
      </c>
      <c r="BM425" s="58">
        <f t="shared" si="1957"/>
        <v>133053.9</v>
      </c>
      <c r="BN425" s="58">
        <f t="shared" si="1957"/>
        <v>0</v>
      </c>
      <c r="BO425" s="58">
        <f t="shared" si="1957"/>
        <v>0</v>
      </c>
      <c r="BP425" s="58">
        <f t="shared" si="1957"/>
        <v>0</v>
      </c>
      <c r="BQ425" s="58">
        <f t="shared" si="1957"/>
        <v>0</v>
      </c>
      <c r="BR425" s="58">
        <f t="shared" si="1957"/>
        <v>70259.799999999988</v>
      </c>
      <c r="BS425" s="58">
        <f t="shared" si="1957"/>
        <v>70259.799999999988</v>
      </c>
      <c r="BT425" s="58">
        <f t="shared" si="1957"/>
        <v>0</v>
      </c>
      <c r="BU425" s="58">
        <f t="shared" si="1957"/>
        <v>0</v>
      </c>
      <c r="BV425" s="58">
        <f t="shared" si="1957"/>
        <v>70259.799999999988</v>
      </c>
      <c r="BW425" s="58">
        <f t="shared" si="1957"/>
        <v>70259.799999999988</v>
      </c>
      <c r="BX425" s="65"/>
      <c r="BY425" s="65"/>
      <c r="BZ425" s="65"/>
      <c r="CA425" s="65"/>
      <c r="CB425" s="65"/>
      <c r="CC425" s="65"/>
      <c r="CD425" s="65"/>
      <c r="CE425" s="65"/>
      <c r="CF425" s="65"/>
      <c r="CG425" s="65"/>
    </row>
    <row r="426" spans="1:85" ht="15.75" customHeight="1">
      <c r="A426" s="365"/>
      <c r="B426" s="366"/>
      <c r="C426" s="200"/>
      <c r="D426" s="201" t="s">
        <v>755</v>
      </c>
      <c r="E426" s="202">
        <f t="shared" ref="E426:H426" si="1958">SUM(E427:E435)</f>
        <v>0</v>
      </c>
      <c r="F426" s="202">
        <f t="shared" si="1958"/>
        <v>0</v>
      </c>
      <c r="G426" s="202">
        <f t="shared" si="1958"/>
        <v>0</v>
      </c>
      <c r="H426" s="202">
        <f t="shared" si="1958"/>
        <v>100000</v>
      </c>
      <c r="I426" s="204">
        <f t="shared" si="1737"/>
        <v>0</v>
      </c>
      <c r="J426" s="204">
        <f t="shared" si="1738"/>
        <v>0</v>
      </c>
      <c r="K426" s="202">
        <f t="shared" ref="K426:W426" si="1959">SUM(K427:K435)</f>
        <v>0</v>
      </c>
      <c r="L426" s="202">
        <f t="shared" si="1959"/>
        <v>150751.5</v>
      </c>
      <c r="M426" s="202">
        <f t="shared" si="1959"/>
        <v>5162.4399999999996</v>
      </c>
      <c r="N426" s="202">
        <f t="shared" si="1959"/>
        <v>203313.7</v>
      </c>
      <c r="O426" s="202">
        <f t="shared" si="1959"/>
        <v>0</v>
      </c>
      <c r="P426" s="202">
        <f t="shared" si="1959"/>
        <v>145589.06</v>
      </c>
      <c r="Q426" s="202">
        <f t="shared" si="1959"/>
        <v>133053.9</v>
      </c>
      <c r="R426" s="202">
        <f t="shared" si="1959"/>
        <v>0</v>
      </c>
      <c r="S426" s="202">
        <f t="shared" si="1959"/>
        <v>145589.06</v>
      </c>
      <c r="T426" s="202">
        <f t="shared" si="1959"/>
        <v>133053.9</v>
      </c>
      <c r="U426" s="202">
        <f t="shared" si="1959"/>
        <v>0</v>
      </c>
      <c r="V426" s="202">
        <f t="shared" si="1959"/>
        <v>0</v>
      </c>
      <c r="W426" s="202">
        <f t="shared" si="1959"/>
        <v>70259.799999999988</v>
      </c>
      <c r="X426" s="205">
        <f t="shared" ref="X426:Y426" si="1960">IF(O426&gt;0,O426/K426,0)</f>
        <v>0</v>
      </c>
      <c r="Y426" s="205">
        <f t="shared" si="1960"/>
        <v>0.9657552992839209</v>
      </c>
      <c r="Z426" s="205">
        <f t="shared" si="1518"/>
        <v>0.65442663234204079</v>
      </c>
      <c r="AA426" s="202">
        <f t="shared" ref="AA426:BW426" si="1961">SUM(AA427:AA435)</f>
        <v>0</v>
      </c>
      <c r="AB426" s="202">
        <f t="shared" si="1961"/>
        <v>0</v>
      </c>
      <c r="AC426" s="202">
        <f t="shared" si="1961"/>
        <v>0</v>
      </c>
      <c r="AD426" s="202">
        <f t="shared" si="1961"/>
        <v>0</v>
      </c>
      <c r="AE426" s="202">
        <f t="shared" si="1961"/>
        <v>10004.66</v>
      </c>
      <c r="AF426" s="202">
        <f t="shared" si="1961"/>
        <v>0</v>
      </c>
      <c r="AG426" s="202">
        <f t="shared" si="1961"/>
        <v>0</v>
      </c>
      <c r="AH426" s="202">
        <f t="shared" si="1961"/>
        <v>10336.6</v>
      </c>
      <c r="AI426" s="202">
        <f t="shared" si="1961"/>
        <v>0</v>
      </c>
      <c r="AJ426" s="202">
        <f t="shared" si="1961"/>
        <v>0</v>
      </c>
      <c r="AK426" s="202">
        <f t="shared" si="1961"/>
        <v>13365</v>
      </c>
      <c r="AL426" s="202">
        <f t="shared" si="1961"/>
        <v>9540.2999999999993</v>
      </c>
      <c r="AM426" s="202">
        <f t="shared" si="1961"/>
        <v>0</v>
      </c>
      <c r="AN426" s="202">
        <f t="shared" si="1961"/>
        <v>3682.2</v>
      </c>
      <c r="AO426" s="202">
        <f t="shared" si="1961"/>
        <v>15795.2</v>
      </c>
      <c r="AP426" s="202">
        <f t="shared" si="1961"/>
        <v>0</v>
      </c>
      <c r="AQ426" s="202">
        <f t="shared" si="1961"/>
        <v>9941</v>
      </c>
      <c r="AR426" s="202">
        <f t="shared" si="1961"/>
        <v>36619.600000000006</v>
      </c>
      <c r="AS426" s="202">
        <f t="shared" si="1961"/>
        <v>0</v>
      </c>
      <c r="AT426" s="202">
        <f t="shared" si="1961"/>
        <v>4832.6000000000004</v>
      </c>
      <c r="AU426" s="202">
        <f t="shared" si="1961"/>
        <v>42131</v>
      </c>
      <c r="AV426" s="202">
        <f t="shared" si="1961"/>
        <v>0</v>
      </c>
      <c r="AW426" s="202">
        <f t="shared" si="1961"/>
        <v>11828.369999999999</v>
      </c>
      <c r="AX426" s="202">
        <f t="shared" si="1961"/>
        <v>10113.5</v>
      </c>
      <c r="AY426" s="202">
        <f t="shared" si="1961"/>
        <v>0</v>
      </c>
      <c r="AZ426" s="202">
        <f t="shared" si="1961"/>
        <v>16103</v>
      </c>
      <c r="BA426" s="202">
        <f t="shared" si="1961"/>
        <v>1405</v>
      </c>
      <c r="BB426" s="202">
        <f t="shared" si="1961"/>
        <v>0</v>
      </c>
      <c r="BC426" s="202">
        <f t="shared" si="1961"/>
        <v>20563</v>
      </c>
      <c r="BD426" s="202">
        <f t="shared" si="1961"/>
        <v>0</v>
      </c>
      <c r="BE426" s="202">
        <f t="shared" si="1961"/>
        <v>0</v>
      </c>
      <c r="BF426" s="202">
        <f t="shared" si="1961"/>
        <v>9615.35</v>
      </c>
      <c r="BG426" s="202">
        <f t="shared" si="1961"/>
        <v>1635.7</v>
      </c>
      <c r="BH426" s="202">
        <f t="shared" si="1961"/>
        <v>0</v>
      </c>
      <c r="BI426" s="202">
        <f t="shared" si="1961"/>
        <v>35317.279999999999</v>
      </c>
      <c r="BJ426" s="202">
        <f t="shared" si="1961"/>
        <v>15813.6</v>
      </c>
      <c r="BK426" s="202">
        <f t="shared" si="1961"/>
        <v>0</v>
      </c>
      <c r="BL426" s="202">
        <f t="shared" si="1961"/>
        <v>145589.06</v>
      </c>
      <c r="BM426" s="202">
        <f t="shared" si="1961"/>
        <v>133053.9</v>
      </c>
      <c r="BN426" s="202">
        <f t="shared" si="1961"/>
        <v>0</v>
      </c>
      <c r="BO426" s="202">
        <f t="shared" si="1961"/>
        <v>0</v>
      </c>
      <c r="BP426" s="202">
        <f t="shared" si="1961"/>
        <v>0</v>
      </c>
      <c r="BQ426" s="202">
        <f t="shared" si="1961"/>
        <v>0</v>
      </c>
      <c r="BR426" s="202">
        <f t="shared" si="1961"/>
        <v>70259.799999999988</v>
      </c>
      <c r="BS426" s="202">
        <f t="shared" si="1961"/>
        <v>70259.799999999988</v>
      </c>
      <c r="BT426" s="202">
        <f t="shared" si="1961"/>
        <v>0</v>
      </c>
      <c r="BU426" s="202">
        <f t="shared" si="1961"/>
        <v>0</v>
      </c>
      <c r="BV426" s="202">
        <f t="shared" si="1961"/>
        <v>70259.799999999988</v>
      </c>
      <c r="BW426" s="202">
        <f t="shared" si="1961"/>
        <v>70259.799999999988</v>
      </c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</row>
    <row r="427" spans="1:85" ht="15.75" customHeight="1">
      <c r="A427" s="84"/>
      <c r="B427" s="115" t="s">
        <v>756</v>
      </c>
      <c r="C427" s="86" t="s">
        <v>757</v>
      </c>
      <c r="D427" s="87" t="s">
        <v>758</v>
      </c>
      <c r="E427" s="70"/>
      <c r="F427" s="71"/>
      <c r="G427" s="71">
        <f t="shared" ref="G427:G435" si="1962">E427-F427</f>
        <v>0</v>
      </c>
      <c r="H427" s="197">
        <v>100000</v>
      </c>
      <c r="I427" s="72">
        <f t="shared" si="1737"/>
        <v>0</v>
      </c>
      <c r="J427" s="72">
        <f t="shared" si="1738"/>
        <v>0</v>
      </c>
      <c r="K427" s="88"/>
      <c r="L427" s="81">
        <v>8100.9</v>
      </c>
      <c r="M427" s="81"/>
      <c r="N427" s="88"/>
      <c r="O427" s="77">
        <f t="shared" ref="O427:Q427" si="1963">AA427+AD427+AG427+AJ427+AM427+AP427+AS427+AV427+AY427+BB427+BE427+BH427</f>
        <v>0</v>
      </c>
      <c r="P427" s="77">
        <f t="shared" si="1963"/>
        <v>8100.9</v>
      </c>
      <c r="Q427" s="77">
        <f t="shared" si="1963"/>
        <v>0</v>
      </c>
      <c r="R427" s="77">
        <f t="shared" ref="R427:T427" si="1964">IF(BK427=0,SUM(AA427+AD427+AG427+AJ427+AM427+AP427+AS427+AV427+AY427+BB427+BE427+BH427),BK427)</f>
        <v>0</v>
      </c>
      <c r="S427" s="77">
        <f t="shared" si="1964"/>
        <v>8100.9</v>
      </c>
      <c r="T427" s="77">
        <f t="shared" si="1964"/>
        <v>0</v>
      </c>
      <c r="U427" s="79">
        <f t="shared" ref="U427:U435" si="1965">K427-O427</f>
        <v>0</v>
      </c>
      <c r="V427" s="79">
        <f t="shared" ref="V427:V435" si="1966">L427-M427-S427</f>
        <v>0</v>
      </c>
      <c r="W427" s="79">
        <f t="shared" ref="W427:W435" si="1967">N427-Q427</f>
        <v>0</v>
      </c>
      <c r="X427" s="80">
        <f t="shared" ref="X427:Y427" si="1968">IF(O427&gt;0,O427/K427,0)</f>
        <v>0</v>
      </c>
      <c r="Y427" s="80">
        <f t="shared" si="1968"/>
        <v>1</v>
      </c>
      <c r="Z427" s="80">
        <f t="shared" si="1518"/>
        <v>0</v>
      </c>
      <c r="AA427" s="81"/>
      <c r="AB427" s="81"/>
      <c r="AC427" s="81"/>
      <c r="AD427" s="81"/>
      <c r="AE427" s="83"/>
      <c r="AF427" s="83"/>
      <c r="AG427" s="83"/>
      <c r="AH427" s="81">
        <f>3440+500+1430</f>
        <v>5370</v>
      </c>
      <c r="AI427" s="81"/>
      <c r="AJ427" s="81"/>
      <c r="AK427" s="81">
        <f>1724.5+1006.4</f>
        <v>2730.9</v>
      </c>
      <c r="AL427" s="81"/>
      <c r="AM427" s="81"/>
      <c r="AN427" s="81"/>
      <c r="AO427" s="81"/>
      <c r="AP427" s="81"/>
      <c r="AQ427" s="81"/>
      <c r="AR427" s="81"/>
      <c r="AS427" s="81"/>
      <c r="AT427" s="81"/>
      <c r="AU427" s="81"/>
      <c r="AV427" s="81"/>
      <c r="AW427" s="81"/>
      <c r="AX427" s="81"/>
      <c r="AY427" s="81"/>
      <c r="AZ427" s="81"/>
      <c r="BA427" s="81"/>
      <c r="BB427" s="81"/>
      <c r="BC427" s="81"/>
      <c r="BD427" s="81"/>
      <c r="BE427" s="81"/>
      <c r="BF427" s="81"/>
      <c r="BG427" s="81"/>
      <c r="BH427" s="81"/>
      <c r="BI427" s="81"/>
      <c r="BJ427" s="81"/>
      <c r="BK427" s="82">
        <v>0</v>
      </c>
      <c r="BL427" s="82">
        <v>8100.9</v>
      </c>
      <c r="BM427" s="82">
        <v>0</v>
      </c>
      <c r="BN427" s="81">
        <f t="shared" ref="BN427:BN435" si="1969">IF(O427-BK427&gt;0,O427-BK427,0)</f>
        <v>0</v>
      </c>
      <c r="BO427" s="75">
        <f t="shared" ref="BO427:BO435" si="1970">IF(Q427-BM427&gt;0,Q427-BM427,0)</f>
        <v>0</v>
      </c>
      <c r="BP427" s="81">
        <f t="shared" ref="BP427:BP435" si="1971">IF(BN427+BO427&gt;0,BN427+BO427,0)</f>
        <v>0</v>
      </c>
      <c r="BQ427" s="81">
        <f t="shared" ref="BQ427:BQ435" si="1972">IF(U427=0,0,U427)</f>
        <v>0</v>
      </c>
      <c r="BR427" s="81">
        <f t="shared" ref="BR427:BR435" si="1973">IF(W427=0,0,W427)</f>
        <v>0</v>
      </c>
      <c r="BS427" s="81">
        <f t="shared" ref="BS427:BS435" si="1974">IF(BQ427+BR427&gt;0,BQ427+BR427,0)</f>
        <v>0</v>
      </c>
      <c r="BT427" s="81">
        <f t="shared" ref="BT427:BT435" si="1975">IF(V427&gt;0,V427,0)</f>
        <v>0</v>
      </c>
      <c r="BU427" s="81">
        <f t="shared" ref="BU427:BU435" si="1976">IF(BP427=0,0,BP427)</f>
        <v>0</v>
      </c>
      <c r="BV427" s="81">
        <f t="shared" ref="BV427:BV435" si="1977">IF(BS427=0,0,BS427)</f>
        <v>0</v>
      </c>
      <c r="BW427" s="81">
        <f t="shared" ref="BW427:BW435" si="1978">IF(BP427+BT427+BV427&gt;0,BP427+BT427+BV427,0)</f>
        <v>0</v>
      </c>
      <c r="BX427" s="1"/>
      <c r="BY427" s="1"/>
      <c r="BZ427" s="1"/>
      <c r="CA427" s="1"/>
      <c r="CB427" s="1"/>
      <c r="CC427" s="1"/>
      <c r="CD427" s="1"/>
      <c r="CE427" s="1"/>
      <c r="CF427" s="1"/>
      <c r="CG427" s="1"/>
    </row>
    <row r="428" spans="1:85" ht="15.75" customHeight="1">
      <c r="A428" s="84"/>
      <c r="B428" s="115" t="s">
        <v>759</v>
      </c>
      <c r="C428" s="86" t="s">
        <v>757</v>
      </c>
      <c r="D428" s="87" t="s">
        <v>758</v>
      </c>
      <c r="E428" s="70"/>
      <c r="F428" s="71"/>
      <c r="G428" s="71">
        <f t="shared" si="1962"/>
        <v>0</v>
      </c>
      <c r="H428" s="70"/>
      <c r="I428" s="72">
        <f t="shared" si="1737"/>
        <v>0</v>
      </c>
      <c r="J428" s="72">
        <f t="shared" si="1738"/>
        <v>0</v>
      </c>
      <c r="K428" s="107"/>
      <c r="L428" s="81">
        <v>25832.5</v>
      </c>
      <c r="M428" s="82">
        <f>17607-17607</f>
        <v>0</v>
      </c>
      <c r="N428" s="88"/>
      <c r="O428" s="77">
        <f t="shared" ref="O428:Q428" si="1979">AA428+AD428+AG428+AJ428+AM428+AP428+AS428+AV428+AY428+BB428+BE428+BH428</f>
        <v>0</v>
      </c>
      <c r="P428" s="77">
        <f t="shared" si="1979"/>
        <v>25832.5</v>
      </c>
      <c r="Q428" s="77">
        <f t="shared" si="1979"/>
        <v>0</v>
      </c>
      <c r="R428" s="77">
        <f t="shared" ref="R428:T428" si="1980">IF(BK428=0,SUM(AA428+AD428+AG428+AJ428+AM428+AP428+AS428+AV428+AY428+BB428+BE428+BH428),BK428)</f>
        <v>0</v>
      </c>
      <c r="S428" s="77">
        <f t="shared" si="1980"/>
        <v>25832.5</v>
      </c>
      <c r="T428" s="77">
        <f t="shared" si="1980"/>
        <v>0</v>
      </c>
      <c r="U428" s="79">
        <f t="shared" si="1965"/>
        <v>0</v>
      </c>
      <c r="V428" s="79">
        <f t="shared" si="1966"/>
        <v>0</v>
      </c>
      <c r="W428" s="79">
        <f t="shared" si="1967"/>
        <v>0</v>
      </c>
      <c r="X428" s="80">
        <f t="shared" ref="X428:Y428" si="1981">IF(O428&gt;0,O428/K428,0)</f>
        <v>0</v>
      </c>
      <c r="Y428" s="80">
        <f t="shared" si="1981"/>
        <v>1</v>
      </c>
      <c r="Z428" s="80">
        <f t="shared" si="1518"/>
        <v>0</v>
      </c>
      <c r="AA428" s="81"/>
      <c r="AB428" s="81"/>
      <c r="AC428" s="81"/>
      <c r="AD428" s="81"/>
      <c r="AE428" s="83"/>
      <c r="AF428" s="83"/>
      <c r="AG428" s="83"/>
      <c r="AH428" s="83"/>
      <c r="AI428" s="81"/>
      <c r="AJ428" s="81"/>
      <c r="AK428" s="81">
        <f>220.5+558</f>
        <v>778.5</v>
      </c>
      <c r="AL428" s="81"/>
      <c r="AM428" s="81"/>
      <c r="AN428" s="81"/>
      <c r="AO428" s="81"/>
      <c r="AP428" s="81"/>
      <c r="AQ428" s="81">
        <f>2449+2549+2449</f>
        <v>7447</v>
      </c>
      <c r="AR428" s="81"/>
      <c r="AS428" s="81"/>
      <c r="AT428" s="81"/>
      <c r="AU428" s="81"/>
      <c r="AV428" s="81"/>
      <c r="AW428" s="81"/>
      <c r="AX428" s="81"/>
      <c r="AY428" s="81"/>
      <c r="AZ428" s="81"/>
      <c r="BA428" s="81"/>
      <c r="BB428" s="81"/>
      <c r="BC428" s="81">
        <f>5062.5</f>
        <v>5062.5</v>
      </c>
      <c r="BD428" s="81"/>
      <c r="BE428" s="81"/>
      <c r="BF428" s="88">
        <f>2209.66+3971.67</f>
        <v>6181.33</v>
      </c>
      <c r="BG428" s="81"/>
      <c r="BH428" s="81"/>
      <c r="BI428" s="81">
        <f>6363.17</f>
        <v>6363.17</v>
      </c>
      <c r="BJ428" s="81"/>
      <c r="BK428" s="82">
        <v>0</v>
      </c>
      <c r="BL428" s="82">
        <v>25832.5</v>
      </c>
      <c r="BM428" s="82">
        <v>0</v>
      </c>
      <c r="BN428" s="81">
        <f t="shared" si="1969"/>
        <v>0</v>
      </c>
      <c r="BO428" s="75">
        <f t="shared" si="1970"/>
        <v>0</v>
      </c>
      <c r="BP428" s="81">
        <f t="shared" si="1971"/>
        <v>0</v>
      </c>
      <c r="BQ428" s="81">
        <f t="shared" si="1972"/>
        <v>0</v>
      </c>
      <c r="BR428" s="81">
        <f t="shared" si="1973"/>
        <v>0</v>
      </c>
      <c r="BS428" s="81">
        <f t="shared" si="1974"/>
        <v>0</v>
      </c>
      <c r="BT428" s="81">
        <f t="shared" si="1975"/>
        <v>0</v>
      </c>
      <c r="BU428" s="81">
        <f t="shared" si="1976"/>
        <v>0</v>
      </c>
      <c r="BV428" s="81">
        <f t="shared" si="1977"/>
        <v>0</v>
      </c>
      <c r="BW428" s="81">
        <f t="shared" si="1978"/>
        <v>0</v>
      </c>
      <c r="BX428" s="1"/>
      <c r="BY428" s="1"/>
      <c r="BZ428" s="1"/>
      <c r="CA428" s="1"/>
      <c r="CB428" s="1"/>
      <c r="CC428" s="1"/>
      <c r="CD428" s="1"/>
      <c r="CE428" s="1"/>
      <c r="CF428" s="1"/>
      <c r="CG428" s="1"/>
    </row>
    <row r="429" spans="1:85" ht="15.75" customHeight="1">
      <c r="A429" s="125" t="s">
        <v>760</v>
      </c>
      <c r="B429" s="115"/>
      <c r="C429" s="86" t="s">
        <v>757</v>
      </c>
      <c r="D429" s="87" t="s">
        <v>758</v>
      </c>
      <c r="E429" s="70"/>
      <c r="F429" s="71"/>
      <c r="G429" s="71">
        <f t="shared" si="1962"/>
        <v>0</v>
      </c>
      <c r="H429" s="70"/>
      <c r="I429" s="72">
        <f t="shared" si="1737"/>
        <v>0</v>
      </c>
      <c r="J429" s="72">
        <f t="shared" si="1738"/>
        <v>0</v>
      </c>
      <c r="K429" s="107"/>
      <c r="L429" s="81"/>
      <c r="M429" s="81"/>
      <c r="N429" s="73">
        <v>212</v>
      </c>
      <c r="O429" s="77">
        <f t="shared" ref="O429:Q429" si="1982">AA429+AD429+AG429+AJ429+AM429+AP429+AS429+AV429+AY429+BB429+BE429+BH429</f>
        <v>0</v>
      </c>
      <c r="P429" s="77">
        <f t="shared" si="1982"/>
        <v>0</v>
      </c>
      <c r="Q429" s="77">
        <f t="shared" si="1982"/>
        <v>0</v>
      </c>
      <c r="R429" s="77">
        <f t="shared" ref="R429:T429" si="1983">IF(BK429=0,SUM(AA429+AD429+AG429+AJ429+AM429+AP429+AS429+AV429+AY429+BB429+BE429+BH429),BK429)</f>
        <v>0</v>
      </c>
      <c r="S429" s="77">
        <f t="shared" si="1983"/>
        <v>0</v>
      </c>
      <c r="T429" s="77">
        <f t="shared" si="1983"/>
        <v>0</v>
      </c>
      <c r="U429" s="79">
        <f t="shared" si="1965"/>
        <v>0</v>
      </c>
      <c r="V429" s="79">
        <f t="shared" si="1966"/>
        <v>0</v>
      </c>
      <c r="W429" s="78">
        <f t="shared" si="1967"/>
        <v>212</v>
      </c>
      <c r="X429" s="80">
        <f t="shared" ref="X429:Y429" si="1984">IF(O429&gt;0,O429/K429,0)</f>
        <v>0</v>
      </c>
      <c r="Y429" s="80">
        <f t="shared" si="1984"/>
        <v>0</v>
      </c>
      <c r="Z429" s="80">
        <f t="shared" si="1518"/>
        <v>0</v>
      </c>
      <c r="AA429" s="81"/>
      <c r="AB429" s="81"/>
      <c r="AC429" s="81"/>
      <c r="AD429" s="81"/>
      <c r="AE429" s="83"/>
      <c r="AF429" s="83"/>
      <c r="AG429" s="83"/>
      <c r="AH429" s="83"/>
      <c r="AI429" s="81"/>
      <c r="AJ429" s="81"/>
      <c r="AK429" s="82"/>
      <c r="AL429" s="81"/>
      <c r="AM429" s="81"/>
      <c r="AN429" s="81"/>
      <c r="AO429" s="81"/>
      <c r="AP429" s="81"/>
      <c r="AQ429" s="81"/>
      <c r="AR429" s="81"/>
      <c r="AS429" s="81"/>
      <c r="AT429" s="81"/>
      <c r="AU429" s="81"/>
      <c r="AV429" s="81"/>
      <c r="AW429" s="81"/>
      <c r="AX429" s="81"/>
      <c r="AY429" s="81"/>
      <c r="AZ429" s="81"/>
      <c r="BA429" s="81"/>
      <c r="BB429" s="81"/>
      <c r="BC429" s="81"/>
      <c r="BD429" s="81"/>
      <c r="BE429" s="81"/>
      <c r="BF429" s="81"/>
      <c r="BG429" s="81"/>
      <c r="BH429" s="81"/>
      <c r="BI429" s="81"/>
      <c r="BJ429" s="81"/>
      <c r="BK429" s="82">
        <v>0</v>
      </c>
      <c r="BL429" s="82">
        <v>0</v>
      </c>
      <c r="BM429" s="82">
        <v>0</v>
      </c>
      <c r="BN429" s="81">
        <f t="shared" si="1969"/>
        <v>0</v>
      </c>
      <c r="BO429" s="75">
        <f t="shared" si="1970"/>
        <v>0</v>
      </c>
      <c r="BP429" s="81">
        <f t="shared" si="1971"/>
        <v>0</v>
      </c>
      <c r="BQ429" s="81">
        <f t="shared" si="1972"/>
        <v>0</v>
      </c>
      <c r="BR429" s="81">
        <f t="shared" si="1973"/>
        <v>212</v>
      </c>
      <c r="BS429" s="81">
        <f t="shared" si="1974"/>
        <v>212</v>
      </c>
      <c r="BT429" s="81">
        <f t="shared" si="1975"/>
        <v>0</v>
      </c>
      <c r="BU429" s="81">
        <f t="shared" si="1976"/>
        <v>0</v>
      </c>
      <c r="BV429" s="81">
        <f t="shared" si="1977"/>
        <v>212</v>
      </c>
      <c r="BW429" s="81">
        <f t="shared" si="1978"/>
        <v>212</v>
      </c>
      <c r="BX429" s="1"/>
      <c r="BY429" s="1"/>
      <c r="BZ429" s="1"/>
      <c r="CA429" s="1"/>
      <c r="CB429" s="1"/>
      <c r="CC429" s="1"/>
      <c r="CD429" s="1"/>
      <c r="CE429" s="1"/>
      <c r="CF429" s="1"/>
      <c r="CG429" s="1"/>
    </row>
    <row r="430" spans="1:85" ht="15.75" customHeight="1">
      <c r="A430" s="125" t="s">
        <v>761</v>
      </c>
      <c r="B430" s="115"/>
      <c r="C430" s="86" t="s">
        <v>757</v>
      </c>
      <c r="D430" s="87" t="s">
        <v>758</v>
      </c>
      <c r="E430" s="70"/>
      <c r="F430" s="71"/>
      <c r="G430" s="71">
        <f t="shared" si="1962"/>
        <v>0</v>
      </c>
      <c r="H430" s="70"/>
      <c r="I430" s="72">
        <f t="shared" si="1737"/>
        <v>0</v>
      </c>
      <c r="J430" s="72">
        <f t="shared" si="1738"/>
        <v>0</v>
      </c>
      <c r="K430" s="107"/>
      <c r="L430" s="81"/>
      <c r="M430" s="81"/>
      <c r="N430" s="73">
        <v>66024</v>
      </c>
      <c r="O430" s="77">
        <f t="shared" ref="O430:Q430" si="1985">AA430+AD430+AG430+AJ430+AM430+AP430+AS430+AV430+AY430+BB430+BE430+BH430</f>
        <v>0</v>
      </c>
      <c r="P430" s="77">
        <f t="shared" si="1985"/>
        <v>0</v>
      </c>
      <c r="Q430" s="77">
        <f t="shared" si="1985"/>
        <v>3041.6</v>
      </c>
      <c r="R430" s="77">
        <f t="shared" ref="R430:T430" si="1986">IF(BK430=0,SUM(AA430+AD430+AG430+AJ430+AM430+AP430+AS430+AV430+AY430+BB430+BE430+BH430),BK430)</f>
        <v>0</v>
      </c>
      <c r="S430" s="77">
        <f t="shared" si="1986"/>
        <v>0</v>
      </c>
      <c r="T430" s="77">
        <f t="shared" si="1986"/>
        <v>3041.6</v>
      </c>
      <c r="U430" s="79">
        <f t="shared" si="1965"/>
        <v>0</v>
      </c>
      <c r="V430" s="79">
        <f t="shared" si="1966"/>
        <v>0</v>
      </c>
      <c r="W430" s="78">
        <f t="shared" si="1967"/>
        <v>62982.400000000001</v>
      </c>
      <c r="X430" s="80">
        <f t="shared" ref="X430:Y430" si="1987">IF(O430&gt;0,O430/K430,0)</f>
        <v>0</v>
      </c>
      <c r="Y430" s="80">
        <f t="shared" si="1987"/>
        <v>0</v>
      </c>
      <c r="Z430" s="80">
        <f t="shared" si="1518"/>
        <v>4.6068096449775837E-2</v>
      </c>
      <c r="AA430" s="81"/>
      <c r="AB430" s="81"/>
      <c r="AC430" s="81"/>
      <c r="AD430" s="81"/>
      <c r="AE430" s="83"/>
      <c r="AF430" s="83"/>
      <c r="AG430" s="83"/>
      <c r="AH430" s="83"/>
      <c r="AI430" s="81"/>
      <c r="AJ430" s="81"/>
      <c r="AK430" s="82"/>
      <c r="AL430" s="81"/>
      <c r="AM430" s="81"/>
      <c r="AN430" s="81"/>
      <c r="AO430" s="81"/>
      <c r="AP430" s="81"/>
      <c r="AQ430" s="81"/>
      <c r="AR430" s="81"/>
      <c r="AS430" s="81"/>
      <c r="AT430" s="81"/>
      <c r="AU430" s="81"/>
      <c r="AV430" s="81"/>
      <c r="AW430" s="81"/>
      <c r="AX430" s="81"/>
      <c r="AY430" s="81"/>
      <c r="AZ430" s="81"/>
      <c r="BA430" s="81"/>
      <c r="BB430" s="81"/>
      <c r="BC430" s="81"/>
      <c r="BD430" s="81"/>
      <c r="BE430" s="81"/>
      <c r="BF430" s="81"/>
      <c r="BG430" s="81"/>
      <c r="BH430" s="81"/>
      <c r="BI430" s="81"/>
      <c r="BJ430" s="81">
        <f>3041.6</f>
        <v>3041.6</v>
      </c>
      <c r="BK430" s="82">
        <v>0</v>
      </c>
      <c r="BL430" s="82">
        <v>0</v>
      </c>
      <c r="BM430" s="82">
        <v>3041.6</v>
      </c>
      <c r="BN430" s="81">
        <f t="shared" si="1969"/>
        <v>0</v>
      </c>
      <c r="BO430" s="75">
        <f t="shared" si="1970"/>
        <v>0</v>
      </c>
      <c r="BP430" s="81">
        <f t="shared" si="1971"/>
        <v>0</v>
      </c>
      <c r="BQ430" s="81">
        <f t="shared" si="1972"/>
        <v>0</v>
      </c>
      <c r="BR430" s="81">
        <f t="shared" si="1973"/>
        <v>62982.400000000001</v>
      </c>
      <c r="BS430" s="81">
        <f t="shared" si="1974"/>
        <v>62982.400000000001</v>
      </c>
      <c r="BT430" s="81">
        <f t="shared" si="1975"/>
        <v>0</v>
      </c>
      <c r="BU430" s="81">
        <f t="shared" si="1976"/>
        <v>0</v>
      </c>
      <c r="BV430" s="81">
        <f t="shared" si="1977"/>
        <v>62982.400000000001</v>
      </c>
      <c r="BW430" s="81">
        <f t="shared" si="1978"/>
        <v>62982.400000000001</v>
      </c>
      <c r="BX430" s="1"/>
      <c r="BY430" s="1"/>
      <c r="BZ430" s="1"/>
      <c r="CA430" s="1"/>
      <c r="CB430" s="1"/>
      <c r="CC430" s="1"/>
      <c r="CD430" s="1"/>
      <c r="CE430" s="1"/>
      <c r="CF430" s="1"/>
      <c r="CG430" s="1"/>
    </row>
    <row r="431" spans="1:85" ht="15.75" customHeight="1">
      <c r="A431" s="125" t="s">
        <v>762</v>
      </c>
      <c r="B431" s="115"/>
      <c r="C431" s="86" t="s">
        <v>757</v>
      </c>
      <c r="D431" s="87" t="s">
        <v>758</v>
      </c>
      <c r="E431" s="70"/>
      <c r="F431" s="71"/>
      <c r="G431" s="71">
        <f t="shared" si="1962"/>
        <v>0</v>
      </c>
      <c r="H431" s="70"/>
      <c r="I431" s="72">
        <f t="shared" si="1737"/>
        <v>0</v>
      </c>
      <c r="J431" s="72">
        <f t="shared" si="1738"/>
        <v>0</v>
      </c>
      <c r="K431" s="107"/>
      <c r="L431" s="81"/>
      <c r="M431" s="81"/>
      <c r="N431" s="73">
        <v>3150</v>
      </c>
      <c r="O431" s="77">
        <f t="shared" ref="O431:Q431" si="1988">AA431+AD431+AG431+AJ431+AM431+AP431+AS431+AV431+AY431+BB431+BE431+BH431</f>
        <v>0</v>
      </c>
      <c r="P431" s="77">
        <f t="shared" si="1988"/>
        <v>0</v>
      </c>
      <c r="Q431" s="77">
        <f t="shared" si="1988"/>
        <v>0</v>
      </c>
      <c r="R431" s="77">
        <f t="shared" ref="R431:T431" si="1989">IF(BK431=0,SUM(AA431+AD431+AG431+AJ431+AM431+AP431+AS431+AV431+AY431+BB431+BE431+BH431),BK431)</f>
        <v>0</v>
      </c>
      <c r="S431" s="77">
        <f t="shared" si="1989"/>
        <v>0</v>
      </c>
      <c r="T431" s="77">
        <f t="shared" si="1989"/>
        <v>0</v>
      </c>
      <c r="U431" s="79">
        <f t="shared" si="1965"/>
        <v>0</v>
      </c>
      <c r="V431" s="79">
        <f t="shared" si="1966"/>
        <v>0</v>
      </c>
      <c r="W431" s="78">
        <f t="shared" si="1967"/>
        <v>3150</v>
      </c>
      <c r="X431" s="80">
        <f t="shared" ref="X431:Y431" si="1990">IF(O431&gt;0,O431/K431,0)</f>
        <v>0</v>
      </c>
      <c r="Y431" s="80">
        <f t="shared" si="1990"/>
        <v>0</v>
      </c>
      <c r="Z431" s="80">
        <f t="shared" si="1518"/>
        <v>0</v>
      </c>
      <c r="AA431" s="81"/>
      <c r="AB431" s="81"/>
      <c r="AC431" s="81"/>
      <c r="AD431" s="81"/>
      <c r="AE431" s="83"/>
      <c r="AF431" s="83"/>
      <c r="AG431" s="83"/>
      <c r="AH431" s="83"/>
      <c r="AI431" s="81"/>
      <c r="AJ431" s="81"/>
      <c r="AK431" s="82"/>
      <c r="AL431" s="81"/>
      <c r="AM431" s="81"/>
      <c r="AN431" s="81"/>
      <c r="AO431" s="81"/>
      <c r="AP431" s="81"/>
      <c r="AQ431" s="81"/>
      <c r="AR431" s="81"/>
      <c r="AS431" s="81"/>
      <c r="AT431" s="81"/>
      <c r="AU431" s="81"/>
      <c r="AV431" s="81"/>
      <c r="AW431" s="81"/>
      <c r="AX431" s="81"/>
      <c r="AY431" s="81"/>
      <c r="AZ431" s="81"/>
      <c r="BA431" s="81"/>
      <c r="BB431" s="81"/>
      <c r="BC431" s="81"/>
      <c r="BD431" s="81"/>
      <c r="BE431" s="81"/>
      <c r="BF431" s="81"/>
      <c r="BG431" s="81"/>
      <c r="BH431" s="81"/>
      <c r="BI431" s="81"/>
      <c r="BJ431" s="81"/>
      <c r="BK431" s="82">
        <v>0</v>
      </c>
      <c r="BL431" s="82">
        <v>0</v>
      </c>
      <c r="BM431" s="82">
        <v>0</v>
      </c>
      <c r="BN431" s="81">
        <f t="shared" si="1969"/>
        <v>0</v>
      </c>
      <c r="BO431" s="75">
        <f t="shared" si="1970"/>
        <v>0</v>
      </c>
      <c r="BP431" s="81">
        <f t="shared" si="1971"/>
        <v>0</v>
      </c>
      <c r="BQ431" s="81">
        <f t="shared" si="1972"/>
        <v>0</v>
      </c>
      <c r="BR431" s="81">
        <f t="shared" si="1973"/>
        <v>3150</v>
      </c>
      <c r="BS431" s="81">
        <f t="shared" si="1974"/>
        <v>3150</v>
      </c>
      <c r="BT431" s="81">
        <f t="shared" si="1975"/>
        <v>0</v>
      </c>
      <c r="BU431" s="81">
        <f t="shared" si="1976"/>
        <v>0</v>
      </c>
      <c r="BV431" s="81">
        <f t="shared" si="1977"/>
        <v>3150</v>
      </c>
      <c r="BW431" s="81">
        <f t="shared" si="1978"/>
        <v>3150</v>
      </c>
      <c r="BX431" s="1"/>
      <c r="BY431" s="1"/>
      <c r="BZ431" s="1"/>
      <c r="CA431" s="1"/>
      <c r="CB431" s="1"/>
      <c r="CC431" s="1"/>
      <c r="CD431" s="1"/>
      <c r="CE431" s="1"/>
      <c r="CF431" s="1"/>
      <c r="CG431" s="1"/>
    </row>
    <row r="432" spans="1:85" ht="15.75" customHeight="1">
      <c r="A432" s="125" t="s">
        <v>763</v>
      </c>
      <c r="B432" s="85"/>
      <c r="C432" s="86" t="s">
        <v>757</v>
      </c>
      <c r="D432" s="87" t="s">
        <v>758</v>
      </c>
      <c r="E432" s="70"/>
      <c r="F432" s="71"/>
      <c r="G432" s="71">
        <f t="shared" si="1962"/>
        <v>0</v>
      </c>
      <c r="H432" s="70"/>
      <c r="I432" s="72">
        <f t="shared" si="1737"/>
        <v>0</v>
      </c>
      <c r="J432" s="72">
        <f t="shared" si="1738"/>
        <v>0</v>
      </c>
      <c r="K432" s="107"/>
      <c r="L432" s="81"/>
      <c r="M432" s="81"/>
      <c r="N432" s="88">
        <f>1069.2</f>
        <v>1069.2</v>
      </c>
      <c r="O432" s="77">
        <f t="shared" ref="O432:Q432" si="1991">AA432+AD432+AG432+AJ432+AM432+AP432+AS432+AV432+AY432+BB432+BE432+BH432</f>
        <v>0</v>
      </c>
      <c r="P432" s="77">
        <f t="shared" si="1991"/>
        <v>0</v>
      </c>
      <c r="Q432" s="77">
        <f t="shared" si="1991"/>
        <v>0</v>
      </c>
      <c r="R432" s="77">
        <f t="shared" ref="R432:T432" si="1992">IF(BK432=0,SUM(AA432+AD432+AG432+AJ432+AM432+AP432+AS432+AV432+AY432+BB432+BE432+BH432),BK432)</f>
        <v>0</v>
      </c>
      <c r="S432" s="77">
        <f t="shared" si="1992"/>
        <v>0</v>
      </c>
      <c r="T432" s="77">
        <f t="shared" si="1992"/>
        <v>0</v>
      </c>
      <c r="U432" s="79">
        <f t="shared" si="1965"/>
        <v>0</v>
      </c>
      <c r="V432" s="79">
        <f t="shared" si="1966"/>
        <v>0</v>
      </c>
      <c r="W432" s="78">
        <f t="shared" si="1967"/>
        <v>1069.2</v>
      </c>
      <c r="X432" s="80">
        <f t="shared" ref="X432:Y432" si="1993">IF(O432&gt;0,O432/K432,0)</f>
        <v>0</v>
      </c>
      <c r="Y432" s="80">
        <f t="shared" si="1993"/>
        <v>0</v>
      </c>
      <c r="Z432" s="80">
        <f t="shared" si="1518"/>
        <v>0</v>
      </c>
      <c r="AA432" s="81"/>
      <c r="AB432" s="81"/>
      <c r="AC432" s="81"/>
      <c r="AD432" s="81"/>
      <c r="AE432" s="83"/>
      <c r="AF432" s="83"/>
      <c r="AG432" s="83"/>
      <c r="AH432" s="83"/>
      <c r="AI432" s="81"/>
      <c r="AJ432" s="81"/>
      <c r="AK432" s="82"/>
      <c r="AL432" s="81"/>
      <c r="AM432" s="81"/>
      <c r="AN432" s="81"/>
      <c r="AO432" s="81"/>
      <c r="AP432" s="81"/>
      <c r="AQ432" s="81"/>
      <c r="AR432" s="81"/>
      <c r="AS432" s="81"/>
      <c r="AT432" s="81"/>
      <c r="AU432" s="81"/>
      <c r="AV432" s="81"/>
      <c r="AW432" s="81"/>
      <c r="AX432" s="81"/>
      <c r="AY432" s="81"/>
      <c r="AZ432" s="81"/>
      <c r="BA432" s="81"/>
      <c r="BB432" s="81"/>
      <c r="BC432" s="81"/>
      <c r="BD432" s="81"/>
      <c r="BE432" s="81"/>
      <c r="BF432" s="81"/>
      <c r="BG432" s="81"/>
      <c r="BH432" s="81"/>
      <c r="BI432" s="81"/>
      <c r="BJ432" s="81"/>
      <c r="BK432" s="82">
        <v>0</v>
      </c>
      <c r="BL432" s="82">
        <v>0</v>
      </c>
      <c r="BM432" s="82">
        <v>0</v>
      </c>
      <c r="BN432" s="81">
        <f t="shared" si="1969"/>
        <v>0</v>
      </c>
      <c r="BO432" s="75">
        <f t="shared" si="1970"/>
        <v>0</v>
      </c>
      <c r="BP432" s="81">
        <f t="shared" si="1971"/>
        <v>0</v>
      </c>
      <c r="BQ432" s="81">
        <f t="shared" si="1972"/>
        <v>0</v>
      </c>
      <c r="BR432" s="81">
        <f t="shared" si="1973"/>
        <v>1069.2</v>
      </c>
      <c r="BS432" s="81">
        <f t="shared" si="1974"/>
        <v>1069.2</v>
      </c>
      <c r="BT432" s="81">
        <f t="shared" si="1975"/>
        <v>0</v>
      </c>
      <c r="BU432" s="81">
        <f t="shared" si="1976"/>
        <v>0</v>
      </c>
      <c r="BV432" s="81">
        <f t="shared" si="1977"/>
        <v>1069.2</v>
      </c>
      <c r="BW432" s="81">
        <f t="shared" si="1978"/>
        <v>1069.2</v>
      </c>
      <c r="BX432" s="1"/>
      <c r="BY432" s="1"/>
      <c r="BZ432" s="1"/>
      <c r="CA432" s="1"/>
      <c r="CB432" s="1"/>
      <c r="CC432" s="1"/>
      <c r="CD432" s="1"/>
      <c r="CE432" s="1"/>
      <c r="CF432" s="1"/>
      <c r="CG432" s="1"/>
    </row>
    <row r="433" spans="1:85" ht="15.75" customHeight="1">
      <c r="A433" s="134" t="s">
        <v>764</v>
      </c>
      <c r="B433" s="132" t="s">
        <v>765</v>
      </c>
      <c r="C433" s="86" t="s">
        <v>757</v>
      </c>
      <c r="D433" s="126" t="s">
        <v>766</v>
      </c>
      <c r="E433" s="70"/>
      <c r="F433" s="71"/>
      <c r="G433" s="71">
        <f t="shared" si="1962"/>
        <v>0</v>
      </c>
      <c r="H433" s="70"/>
      <c r="I433" s="72">
        <f t="shared" si="1737"/>
        <v>0</v>
      </c>
      <c r="J433" s="72">
        <f t="shared" si="1738"/>
        <v>0</v>
      </c>
      <c r="K433" s="107"/>
      <c r="L433" s="81">
        <v>1097.5999999999999</v>
      </c>
      <c r="M433" s="81"/>
      <c r="N433" s="73">
        <v>20489.5</v>
      </c>
      <c r="O433" s="77">
        <f t="shared" ref="O433:Q433" si="1994">AA433+AD433+AG433+AJ433+AM433+AP433+AS433+AV433+AY433+BB433+BE433+BH433</f>
        <v>0</v>
      </c>
      <c r="P433" s="77">
        <f t="shared" si="1994"/>
        <v>1097.5999999999999</v>
      </c>
      <c r="Q433" s="77">
        <f t="shared" si="1994"/>
        <v>17643.3</v>
      </c>
      <c r="R433" s="77">
        <f t="shared" ref="R433:T433" si="1995">IF(BK433=0,SUM(AA433+AD433+AG433+AJ433+AM433+AP433+AS433+AV433+AY433+BB433+BE433+BH433),BK433)</f>
        <v>0</v>
      </c>
      <c r="S433" s="77">
        <f t="shared" si="1995"/>
        <v>1097.5999999999999</v>
      </c>
      <c r="T433" s="77">
        <f t="shared" si="1995"/>
        <v>17643.3</v>
      </c>
      <c r="U433" s="79">
        <f t="shared" si="1965"/>
        <v>0</v>
      </c>
      <c r="V433" s="79">
        <f t="shared" si="1966"/>
        <v>0</v>
      </c>
      <c r="W433" s="78">
        <f t="shared" si="1967"/>
        <v>2846.2000000000007</v>
      </c>
      <c r="X433" s="80">
        <f t="shared" ref="X433:Y433" si="1996">IF(O433&gt;0,O433/K433,0)</f>
        <v>0</v>
      </c>
      <c r="Y433" s="80">
        <f t="shared" si="1996"/>
        <v>1</v>
      </c>
      <c r="Z433" s="80">
        <f t="shared" si="1518"/>
        <v>0.86108982649649812</v>
      </c>
      <c r="AA433" s="81"/>
      <c r="AB433" s="81"/>
      <c r="AC433" s="81"/>
      <c r="AD433" s="81"/>
      <c r="AE433" s="128">
        <v>1097.5999999999999</v>
      </c>
      <c r="AF433" s="83"/>
      <c r="AG433" s="83"/>
      <c r="AH433" s="83"/>
      <c r="AI433" s="81"/>
      <c r="AJ433" s="81"/>
      <c r="AK433" s="81"/>
      <c r="AL433" s="81"/>
      <c r="AM433" s="81"/>
      <c r="AN433" s="81"/>
      <c r="AO433" s="82">
        <v>835.2</v>
      </c>
      <c r="AP433" s="81"/>
      <c r="AQ433" s="81"/>
      <c r="AR433" s="81"/>
      <c r="AS433" s="81"/>
      <c r="AT433" s="81"/>
      <c r="AU433" s="82">
        <v>256.8</v>
      </c>
      <c r="AV433" s="81"/>
      <c r="AW433" s="81"/>
      <c r="AX433" s="81">
        <f>738.6</f>
        <v>738.6</v>
      </c>
      <c r="AY433" s="81"/>
      <c r="AZ433" s="81"/>
      <c r="BA433" s="81">
        <f>1405</f>
        <v>1405</v>
      </c>
      <c r="BB433" s="81"/>
      <c r="BC433" s="81"/>
      <c r="BD433" s="81"/>
      <c r="BE433" s="81"/>
      <c r="BF433" s="81"/>
      <c r="BG433" s="81">
        <f>1635.7</f>
        <v>1635.7</v>
      </c>
      <c r="BH433" s="81"/>
      <c r="BI433" s="81"/>
      <c r="BJ433" s="81">
        <f>8312+4460</f>
        <v>12772</v>
      </c>
      <c r="BK433" s="82">
        <v>0</v>
      </c>
      <c r="BL433" s="82">
        <v>1097.5999999999999</v>
      </c>
      <c r="BM433" s="82">
        <v>17643.3</v>
      </c>
      <c r="BN433" s="81">
        <f t="shared" si="1969"/>
        <v>0</v>
      </c>
      <c r="BO433" s="75">
        <f t="shared" si="1970"/>
        <v>0</v>
      </c>
      <c r="BP433" s="81">
        <f t="shared" si="1971"/>
        <v>0</v>
      </c>
      <c r="BQ433" s="81">
        <f t="shared" si="1972"/>
        <v>0</v>
      </c>
      <c r="BR433" s="81">
        <f t="shared" si="1973"/>
        <v>2846.2000000000007</v>
      </c>
      <c r="BS433" s="81">
        <f t="shared" si="1974"/>
        <v>2846.2000000000007</v>
      </c>
      <c r="BT433" s="81">
        <f t="shared" si="1975"/>
        <v>0</v>
      </c>
      <c r="BU433" s="81">
        <f t="shared" si="1976"/>
        <v>0</v>
      </c>
      <c r="BV433" s="81">
        <f t="shared" si="1977"/>
        <v>2846.2000000000007</v>
      </c>
      <c r="BW433" s="81">
        <f t="shared" si="1978"/>
        <v>2846.2000000000007</v>
      </c>
      <c r="BX433" s="1"/>
      <c r="BY433" s="1"/>
      <c r="BZ433" s="1"/>
      <c r="CA433" s="1"/>
      <c r="CB433" s="1"/>
      <c r="CC433" s="1"/>
      <c r="CD433" s="1"/>
      <c r="CE433" s="1"/>
      <c r="CF433" s="1"/>
      <c r="CG433" s="1"/>
    </row>
    <row r="434" spans="1:85" ht="15.75" customHeight="1">
      <c r="A434" s="134" t="s">
        <v>767</v>
      </c>
      <c r="B434" s="132" t="s">
        <v>768</v>
      </c>
      <c r="C434" s="86" t="s">
        <v>757</v>
      </c>
      <c r="D434" s="126" t="s">
        <v>769</v>
      </c>
      <c r="E434" s="70"/>
      <c r="F434" s="71"/>
      <c r="G434" s="71">
        <f t="shared" si="1962"/>
        <v>0</v>
      </c>
      <c r="H434" s="70"/>
      <c r="I434" s="72">
        <f t="shared" si="1737"/>
        <v>0</v>
      </c>
      <c r="J434" s="72">
        <f t="shared" si="1738"/>
        <v>0</v>
      </c>
      <c r="K434" s="107"/>
      <c r="L434" s="81">
        <v>37096.75</v>
      </c>
      <c r="M434" s="82">
        <v>2.9</v>
      </c>
      <c r="N434" s="73">
        <v>112369</v>
      </c>
      <c r="O434" s="77">
        <f t="shared" ref="O434:Q434" si="1997">AA434+AD434+AG434+AJ434+AM434+AP434+AS434+AV434+AY434+BB434+BE434+BH434</f>
        <v>0</v>
      </c>
      <c r="P434" s="77">
        <f t="shared" si="1997"/>
        <v>37093.85</v>
      </c>
      <c r="Q434" s="77">
        <f t="shared" si="1997"/>
        <v>112369</v>
      </c>
      <c r="R434" s="77">
        <f t="shared" ref="R434:T434" si="1998">IF(BK434=0,SUM(AA434+AD434+AG434+AJ434+AM434+AP434+AS434+AV434+AY434+BB434+BE434+BH434),BK434)</f>
        <v>0</v>
      </c>
      <c r="S434" s="77">
        <f t="shared" si="1998"/>
        <v>37093.85</v>
      </c>
      <c r="T434" s="77">
        <f t="shared" si="1998"/>
        <v>112369</v>
      </c>
      <c r="U434" s="79">
        <f t="shared" si="1965"/>
        <v>0</v>
      </c>
      <c r="V434" s="79">
        <f t="shared" si="1966"/>
        <v>0</v>
      </c>
      <c r="W434" s="78">
        <f t="shared" si="1967"/>
        <v>0</v>
      </c>
      <c r="X434" s="80">
        <f t="shared" ref="X434:Y434" si="1999">IF(O434&gt;0,O434/K434,0)</f>
        <v>0</v>
      </c>
      <c r="Y434" s="80">
        <f t="shared" si="1999"/>
        <v>0.99992182603597346</v>
      </c>
      <c r="Z434" s="80">
        <f t="shared" si="1518"/>
        <v>1</v>
      </c>
      <c r="AA434" s="81"/>
      <c r="AB434" s="81"/>
      <c r="AC434" s="81"/>
      <c r="AD434" s="81"/>
      <c r="AE434" s="128">
        <v>3060.4</v>
      </c>
      <c r="AF434" s="83"/>
      <c r="AG434" s="83"/>
      <c r="AH434" s="128">
        <v>3256.6</v>
      </c>
      <c r="AI434" s="82"/>
      <c r="AJ434" s="81"/>
      <c r="AK434" s="81">
        <f>2209.6+4516</f>
        <v>6725.6</v>
      </c>
      <c r="AL434" s="82">
        <v>9540.2999999999993</v>
      </c>
      <c r="AM434" s="81"/>
      <c r="AN434" s="82">
        <v>3256.2</v>
      </c>
      <c r="AO434" s="81">
        <f>4680+10280</f>
        <v>14960</v>
      </c>
      <c r="AP434" s="81"/>
      <c r="AQ434" s="82">
        <v>1338</v>
      </c>
      <c r="AR434" s="81">
        <f>17223.2+19396.4</f>
        <v>36619.600000000006</v>
      </c>
      <c r="AS434" s="81"/>
      <c r="AT434" s="82">
        <v>3132</v>
      </c>
      <c r="AU434" s="82">
        <v>41874.199999999997</v>
      </c>
      <c r="AV434" s="81"/>
      <c r="AW434" s="81">
        <f>1317.6+3140.05</f>
        <v>4457.6499999999996</v>
      </c>
      <c r="AX434" s="81">
        <f>9374.9</f>
        <v>9374.9</v>
      </c>
      <c r="AY434" s="81"/>
      <c r="AZ434" s="81">
        <f>1338</f>
        <v>1338</v>
      </c>
      <c r="BA434" s="81"/>
      <c r="BB434" s="81"/>
      <c r="BC434" s="81">
        <f>446</f>
        <v>446</v>
      </c>
      <c r="BD434" s="81"/>
      <c r="BE434" s="81"/>
      <c r="BF434" s="81">
        <f>2665.6</f>
        <v>2665.6</v>
      </c>
      <c r="BG434" s="81"/>
      <c r="BH434" s="81"/>
      <c r="BI434" s="81">
        <f>333+2690+4394.8</f>
        <v>7417.8</v>
      </c>
      <c r="BJ434" s="81"/>
      <c r="BK434" s="82">
        <v>0</v>
      </c>
      <c r="BL434" s="82">
        <v>37093.85</v>
      </c>
      <c r="BM434" s="82">
        <v>112369</v>
      </c>
      <c r="BN434" s="81">
        <f t="shared" si="1969"/>
        <v>0</v>
      </c>
      <c r="BO434" s="75">
        <f t="shared" si="1970"/>
        <v>0</v>
      </c>
      <c r="BP434" s="81">
        <f t="shared" si="1971"/>
        <v>0</v>
      </c>
      <c r="BQ434" s="81">
        <f t="shared" si="1972"/>
        <v>0</v>
      </c>
      <c r="BR434" s="81">
        <f t="shared" si="1973"/>
        <v>0</v>
      </c>
      <c r="BS434" s="81">
        <f t="shared" si="1974"/>
        <v>0</v>
      </c>
      <c r="BT434" s="81">
        <f t="shared" si="1975"/>
        <v>0</v>
      </c>
      <c r="BU434" s="81">
        <f t="shared" si="1976"/>
        <v>0</v>
      </c>
      <c r="BV434" s="81">
        <f t="shared" si="1977"/>
        <v>0</v>
      </c>
      <c r="BW434" s="81">
        <f t="shared" si="1978"/>
        <v>0</v>
      </c>
      <c r="BX434" s="1"/>
      <c r="BY434" s="1"/>
      <c r="BZ434" s="1"/>
      <c r="CA434" s="1"/>
      <c r="CB434" s="1"/>
      <c r="CC434" s="1"/>
      <c r="CD434" s="1"/>
      <c r="CE434" s="1"/>
      <c r="CF434" s="1"/>
      <c r="CG434" s="1"/>
    </row>
    <row r="435" spans="1:85" ht="15.75" customHeight="1">
      <c r="A435" s="194"/>
      <c r="B435" s="142" t="s">
        <v>770</v>
      </c>
      <c r="C435" s="91" t="s">
        <v>757</v>
      </c>
      <c r="D435" s="92" t="s">
        <v>771</v>
      </c>
      <c r="E435" s="70"/>
      <c r="F435" s="71"/>
      <c r="G435" s="71">
        <f t="shared" si="1962"/>
        <v>0</v>
      </c>
      <c r="H435" s="70"/>
      <c r="I435" s="72">
        <f t="shared" si="1737"/>
        <v>0</v>
      </c>
      <c r="J435" s="72">
        <f t="shared" si="1738"/>
        <v>0</v>
      </c>
      <c r="K435" s="107"/>
      <c r="L435" s="81">
        <v>78623.75</v>
      </c>
      <c r="M435" s="81">
        <f>5142.5+17.04</f>
        <v>5159.54</v>
      </c>
      <c r="N435" s="88"/>
      <c r="O435" s="77">
        <f t="shared" ref="O435:Q435" si="2000">AA435+AD435+AG435+AJ435+AM435+AP435+AS435+AV435+AY435+BB435+BE435+BH435</f>
        <v>0</v>
      </c>
      <c r="P435" s="77">
        <f t="shared" si="2000"/>
        <v>73464.209999999992</v>
      </c>
      <c r="Q435" s="77">
        <f t="shared" si="2000"/>
        <v>0</v>
      </c>
      <c r="R435" s="77">
        <f t="shared" ref="R435:T435" si="2001">IF(BK435=0,SUM(AA435+AD435+AG435+AJ435+AM435+AP435+AS435+AV435+AY435+BB435+BE435+BH435),BK435)</f>
        <v>0</v>
      </c>
      <c r="S435" s="77">
        <f t="shared" si="2001"/>
        <v>73464.210000000006</v>
      </c>
      <c r="T435" s="77">
        <f t="shared" si="2001"/>
        <v>0</v>
      </c>
      <c r="U435" s="79">
        <f t="shared" si="1965"/>
        <v>0</v>
      </c>
      <c r="V435" s="79">
        <f t="shared" si="1966"/>
        <v>0</v>
      </c>
      <c r="W435" s="79">
        <f t="shared" si="1967"/>
        <v>0</v>
      </c>
      <c r="X435" s="80">
        <f t="shared" ref="X435:Y435" si="2002">IF(O435&gt;0,O435/K435,0)</f>
        <v>0</v>
      </c>
      <c r="Y435" s="80">
        <f t="shared" si="2002"/>
        <v>0.93437682634064123</v>
      </c>
      <c r="Z435" s="80">
        <f t="shared" si="1518"/>
        <v>0</v>
      </c>
      <c r="AA435" s="81"/>
      <c r="AB435" s="81"/>
      <c r="AC435" s="81"/>
      <c r="AD435" s="81"/>
      <c r="AE435" s="128">
        <v>5846.66</v>
      </c>
      <c r="AF435" s="83"/>
      <c r="AG435" s="83"/>
      <c r="AH435" s="82">
        <v>1710</v>
      </c>
      <c r="AI435" s="82"/>
      <c r="AJ435" s="81"/>
      <c r="AK435" s="81">
        <f>867+2263</f>
        <v>3130</v>
      </c>
      <c r="AL435" s="81"/>
      <c r="AM435" s="81"/>
      <c r="AN435" s="82">
        <v>426</v>
      </c>
      <c r="AO435" s="81"/>
      <c r="AP435" s="81"/>
      <c r="AQ435" s="82">
        <v>1156</v>
      </c>
      <c r="AR435" s="81"/>
      <c r="AS435" s="81"/>
      <c r="AT435" s="82">
        <v>1700.6</v>
      </c>
      <c r="AU435" s="81"/>
      <c r="AV435" s="81"/>
      <c r="AW435" s="81">
        <f>699.72+4467+2204</f>
        <v>7370.72</v>
      </c>
      <c r="AX435" s="81"/>
      <c r="AY435" s="81"/>
      <c r="AZ435" s="81">
        <f>11966+2799</f>
        <v>14765</v>
      </c>
      <c r="BA435" s="81"/>
      <c r="BB435" s="81"/>
      <c r="BC435" s="81">
        <f>15054.5</f>
        <v>15054.5</v>
      </c>
      <c r="BD435" s="81"/>
      <c r="BE435" s="81"/>
      <c r="BF435" s="81">
        <f>768.42</f>
        <v>768.42</v>
      </c>
      <c r="BG435" s="81"/>
      <c r="BH435" s="81"/>
      <c r="BI435" s="81">
        <f>3080.31+18456</f>
        <v>21536.31</v>
      </c>
      <c r="BJ435" s="81"/>
      <c r="BK435" s="82">
        <v>0</v>
      </c>
      <c r="BL435" s="82">
        <v>73464.210000000006</v>
      </c>
      <c r="BM435" s="82">
        <v>0</v>
      </c>
      <c r="BN435" s="81">
        <f t="shared" si="1969"/>
        <v>0</v>
      </c>
      <c r="BO435" s="75">
        <f t="shared" si="1970"/>
        <v>0</v>
      </c>
      <c r="BP435" s="81">
        <f t="shared" si="1971"/>
        <v>0</v>
      </c>
      <c r="BQ435" s="81">
        <f t="shared" si="1972"/>
        <v>0</v>
      </c>
      <c r="BR435" s="81">
        <f t="shared" si="1973"/>
        <v>0</v>
      </c>
      <c r="BS435" s="81">
        <f t="shared" si="1974"/>
        <v>0</v>
      </c>
      <c r="BT435" s="81">
        <f t="shared" si="1975"/>
        <v>0</v>
      </c>
      <c r="BU435" s="81">
        <f t="shared" si="1976"/>
        <v>0</v>
      </c>
      <c r="BV435" s="81">
        <f t="shared" si="1977"/>
        <v>0</v>
      </c>
      <c r="BW435" s="81">
        <f t="shared" si="1978"/>
        <v>0</v>
      </c>
      <c r="BX435" s="1"/>
      <c r="BY435" s="1"/>
      <c r="BZ435" s="1"/>
      <c r="CA435" s="1"/>
      <c r="CB435" s="1"/>
      <c r="CC435" s="1"/>
      <c r="CD435" s="1"/>
      <c r="CE435" s="1"/>
      <c r="CF435" s="1"/>
      <c r="CG435" s="1"/>
    </row>
    <row r="436" spans="1:85" ht="15.75" customHeight="1">
      <c r="A436" s="367"/>
      <c r="B436" s="368"/>
      <c r="C436" s="208"/>
      <c r="D436" s="209" t="s">
        <v>772</v>
      </c>
      <c r="E436" s="202">
        <f t="shared" ref="E436:H436" si="2003">SUM(E437:E449)</f>
        <v>0</v>
      </c>
      <c r="F436" s="202">
        <f t="shared" si="2003"/>
        <v>0</v>
      </c>
      <c r="G436" s="202">
        <f t="shared" si="2003"/>
        <v>0</v>
      </c>
      <c r="H436" s="202">
        <f t="shared" si="2003"/>
        <v>100000</v>
      </c>
      <c r="I436" s="204">
        <f t="shared" si="1737"/>
        <v>0</v>
      </c>
      <c r="J436" s="204">
        <f t="shared" si="1738"/>
        <v>0</v>
      </c>
      <c r="K436" s="202">
        <f t="shared" ref="K436:W436" si="2004">SUM(K437:K449)</f>
        <v>0</v>
      </c>
      <c r="L436" s="202">
        <f t="shared" si="2004"/>
        <v>78238.5</v>
      </c>
      <c r="M436" s="202">
        <f t="shared" si="2004"/>
        <v>0.01</v>
      </c>
      <c r="N436" s="202">
        <f t="shared" si="2004"/>
        <v>0</v>
      </c>
      <c r="O436" s="202">
        <f t="shared" si="2004"/>
        <v>0</v>
      </c>
      <c r="P436" s="202">
        <f t="shared" si="2004"/>
        <v>78238.490000000005</v>
      </c>
      <c r="Q436" s="202">
        <f t="shared" si="2004"/>
        <v>0</v>
      </c>
      <c r="R436" s="202">
        <f t="shared" si="2004"/>
        <v>0</v>
      </c>
      <c r="S436" s="202">
        <f t="shared" si="2004"/>
        <v>78238.490000000005</v>
      </c>
      <c r="T436" s="202">
        <f t="shared" si="2004"/>
        <v>0</v>
      </c>
      <c r="U436" s="202">
        <f t="shared" si="2004"/>
        <v>0</v>
      </c>
      <c r="V436" s="202">
        <f t="shared" si="2004"/>
        <v>0</v>
      </c>
      <c r="W436" s="202">
        <f t="shared" si="2004"/>
        <v>0</v>
      </c>
      <c r="X436" s="205">
        <f t="shared" ref="X436:Y436" si="2005">IF(O436&gt;0,O436/K436,0)</f>
        <v>0</v>
      </c>
      <c r="Y436" s="205">
        <f t="shared" si="2005"/>
        <v>0.99999987218568875</v>
      </c>
      <c r="Z436" s="205">
        <f t="shared" si="1518"/>
        <v>0</v>
      </c>
      <c r="AA436" s="202">
        <f t="shared" ref="AA436:BW436" si="2006">SUM(AA437:AA449)</f>
        <v>0</v>
      </c>
      <c r="AB436" s="202">
        <f t="shared" si="2006"/>
        <v>0</v>
      </c>
      <c r="AC436" s="202">
        <f t="shared" si="2006"/>
        <v>0</v>
      </c>
      <c r="AD436" s="202">
        <f t="shared" si="2006"/>
        <v>0</v>
      </c>
      <c r="AE436" s="202">
        <f t="shared" si="2006"/>
        <v>947.38</v>
      </c>
      <c r="AF436" s="202">
        <f t="shared" si="2006"/>
        <v>0</v>
      </c>
      <c r="AG436" s="202">
        <f t="shared" si="2006"/>
        <v>0</v>
      </c>
      <c r="AH436" s="202">
        <f t="shared" si="2006"/>
        <v>0</v>
      </c>
      <c r="AI436" s="202">
        <f t="shared" si="2006"/>
        <v>0</v>
      </c>
      <c r="AJ436" s="202">
        <f t="shared" si="2006"/>
        <v>0</v>
      </c>
      <c r="AK436" s="202">
        <f t="shared" si="2006"/>
        <v>31416.74</v>
      </c>
      <c r="AL436" s="202">
        <f t="shared" si="2006"/>
        <v>0</v>
      </c>
      <c r="AM436" s="202">
        <f t="shared" si="2006"/>
        <v>0</v>
      </c>
      <c r="AN436" s="202">
        <f t="shared" si="2006"/>
        <v>0</v>
      </c>
      <c r="AO436" s="202">
        <f t="shared" si="2006"/>
        <v>0</v>
      </c>
      <c r="AP436" s="202">
        <f t="shared" si="2006"/>
        <v>0</v>
      </c>
      <c r="AQ436" s="202">
        <f t="shared" si="2006"/>
        <v>17086.84</v>
      </c>
      <c r="AR436" s="202">
        <f t="shared" si="2006"/>
        <v>0</v>
      </c>
      <c r="AS436" s="202">
        <f t="shared" si="2006"/>
        <v>0</v>
      </c>
      <c r="AT436" s="202">
        <f t="shared" si="2006"/>
        <v>10637.289999999999</v>
      </c>
      <c r="AU436" s="202">
        <f t="shared" si="2006"/>
        <v>0</v>
      </c>
      <c r="AV436" s="202">
        <f t="shared" si="2006"/>
        <v>0</v>
      </c>
      <c r="AW436" s="202">
        <f t="shared" si="2006"/>
        <v>8749.19</v>
      </c>
      <c r="AX436" s="202">
        <f t="shared" si="2006"/>
        <v>0</v>
      </c>
      <c r="AY436" s="202">
        <f t="shared" si="2006"/>
        <v>0</v>
      </c>
      <c r="AZ436" s="202">
        <f t="shared" si="2006"/>
        <v>4559.7700000000004</v>
      </c>
      <c r="BA436" s="202">
        <f t="shared" si="2006"/>
        <v>0</v>
      </c>
      <c r="BB436" s="202">
        <f t="shared" si="2006"/>
        <v>0</v>
      </c>
      <c r="BC436" s="202">
        <f t="shared" si="2006"/>
        <v>4841.28</v>
      </c>
      <c r="BD436" s="202">
        <f t="shared" si="2006"/>
        <v>0</v>
      </c>
      <c r="BE436" s="202">
        <f t="shared" si="2006"/>
        <v>0</v>
      </c>
      <c r="BF436" s="202">
        <f t="shared" si="2006"/>
        <v>0</v>
      </c>
      <c r="BG436" s="202">
        <f t="shared" si="2006"/>
        <v>0</v>
      </c>
      <c r="BH436" s="202">
        <f t="shared" si="2006"/>
        <v>0</v>
      </c>
      <c r="BI436" s="202">
        <f t="shared" si="2006"/>
        <v>0</v>
      </c>
      <c r="BJ436" s="202">
        <f t="shared" si="2006"/>
        <v>0</v>
      </c>
      <c r="BK436" s="202">
        <f t="shared" si="2006"/>
        <v>0</v>
      </c>
      <c r="BL436" s="202">
        <f t="shared" si="2006"/>
        <v>78238.490000000005</v>
      </c>
      <c r="BM436" s="202">
        <f t="shared" si="2006"/>
        <v>0</v>
      </c>
      <c r="BN436" s="202">
        <f t="shared" si="2006"/>
        <v>0</v>
      </c>
      <c r="BO436" s="202">
        <f t="shared" si="2006"/>
        <v>0</v>
      </c>
      <c r="BP436" s="202">
        <f t="shared" si="2006"/>
        <v>0</v>
      </c>
      <c r="BQ436" s="202">
        <f t="shared" si="2006"/>
        <v>0</v>
      </c>
      <c r="BR436" s="202">
        <f t="shared" si="2006"/>
        <v>0</v>
      </c>
      <c r="BS436" s="202">
        <f t="shared" si="2006"/>
        <v>0</v>
      </c>
      <c r="BT436" s="202">
        <f t="shared" si="2006"/>
        <v>0</v>
      </c>
      <c r="BU436" s="202">
        <f t="shared" si="2006"/>
        <v>0</v>
      </c>
      <c r="BV436" s="202">
        <f t="shared" si="2006"/>
        <v>0</v>
      </c>
      <c r="BW436" s="202">
        <f t="shared" si="2006"/>
        <v>0</v>
      </c>
      <c r="BX436" s="65"/>
      <c r="BY436" s="65"/>
      <c r="BZ436" s="65"/>
      <c r="CA436" s="65"/>
      <c r="CB436" s="65"/>
      <c r="CC436" s="65"/>
      <c r="CD436" s="65"/>
      <c r="CE436" s="65"/>
      <c r="CF436" s="65"/>
      <c r="CG436" s="65"/>
    </row>
    <row r="437" spans="1:85" ht="15.75" customHeight="1">
      <c r="A437" s="108"/>
      <c r="B437" s="369" t="s">
        <v>773</v>
      </c>
      <c r="C437" s="86" t="s">
        <v>757</v>
      </c>
      <c r="D437" s="87" t="s">
        <v>774</v>
      </c>
      <c r="E437" s="70"/>
      <c r="F437" s="71"/>
      <c r="G437" s="71">
        <f t="shared" ref="G437:G449" si="2007">E437-F437</f>
        <v>0</v>
      </c>
      <c r="H437" s="70"/>
      <c r="I437" s="72">
        <f t="shared" si="1737"/>
        <v>0</v>
      </c>
      <c r="J437" s="72">
        <f t="shared" si="1738"/>
        <v>0</v>
      </c>
      <c r="K437" s="107"/>
      <c r="L437" s="81">
        <v>610.75</v>
      </c>
      <c r="M437" s="81"/>
      <c r="N437" s="88"/>
      <c r="O437" s="77">
        <f t="shared" ref="O437:Q437" si="2008">AA437+AD437+AG437+AJ437+AM437+AP437+AS437+AV437+AY437+BB437+BE437+BH437</f>
        <v>0</v>
      </c>
      <c r="P437" s="77">
        <f t="shared" si="2008"/>
        <v>610.75</v>
      </c>
      <c r="Q437" s="77">
        <f t="shared" si="2008"/>
        <v>0</v>
      </c>
      <c r="R437" s="77">
        <f t="shared" ref="R437:T437" si="2009">IF(BK437=0,SUM(AA437+AD437+AG437+AJ437+AM437+AP437+AS437+AV437+AY437+BB437+BE437+BH437),BK437)</f>
        <v>0</v>
      </c>
      <c r="S437" s="77">
        <f t="shared" si="2009"/>
        <v>610.75</v>
      </c>
      <c r="T437" s="77">
        <f t="shared" si="2009"/>
        <v>0</v>
      </c>
      <c r="U437" s="79">
        <f t="shared" ref="U437:U449" si="2010">K437-O437</f>
        <v>0</v>
      </c>
      <c r="V437" s="79">
        <f t="shared" ref="V437:V449" si="2011">L437-M437-S437</f>
        <v>0</v>
      </c>
      <c r="W437" s="79">
        <f t="shared" ref="W437:W449" si="2012">N437-Q437</f>
        <v>0</v>
      </c>
      <c r="X437" s="80">
        <f t="shared" ref="X437:Y437" si="2013">IF(O437&gt;0,O437/K437,0)</f>
        <v>0</v>
      </c>
      <c r="Y437" s="80">
        <f t="shared" si="2013"/>
        <v>1</v>
      </c>
      <c r="Z437" s="80">
        <f t="shared" si="1518"/>
        <v>0</v>
      </c>
      <c r="AA437" s="81"/>
      <c r="AB437" s="81"/>
      <c r="AC437" s="81"/>
      <c r="AD437" s="81"/>
      <c r="AE437" s="83"/>
      <c r="AF437" s="83"/>
      <c r="AG437" s="83"/>
      <c r="AH437" s="83"/>
      <c r="AI437" s="81"/>
      <c r="AJ437" s="81"/>
      <c r="AK437" s="82">
        <v>610.75</v>
      </c>
      <c r="AL437" s="81"/>
      <c r="AM437" s="81"/>
      <c r="AN437" s="81"/>
      <c r="AO437" s="81"/>
      <c r="AP437" s="81"/>
      <c r="AQ437" s="81"/>
      <c r="AR437" s="81"/>
      <c r="AS437" s="81"/>
      <c r="AT437" s="81"/>
      <c r="AU437" s="81"/>
      <c r="AV437" s="81"/>
      <c r="AW437" s="81"/>
      <c r="AX437" s="81"/>
      <c r="AY437" s="81"/>
      <c r="AZ437" s="81"/>
      <c r="BA437" s="81"/>
      <c r="BB437" s="81"/>
      <c r="BC437" s="81"/>
      <c r="BD437" s="81"/>
      <c r="BE437" s="81"/>
      <c r="BF437" s="81"/>
      <c r="BG437" s="81"/>
      <c r="BH437" s="81"/>
      <c r="BI437" s="81"/>
      <c r="BJ437" s="81"/>
      <c r="BK437" s="82">
        <v>0</v>
      </c>
      <c r="BL437" s="82">
        <v>610.75</v>
      </c>
      <c r="BM437" s="82">
        <v>0</v>
      </c>
      <c r="BN437" s="81">
        <f t="shared" ref="BN437:BN449" si="2014">IF(O437-BK437&gt;0,O437-BK437,0)</f>
        <v>0</v>
      </c>
      <c r="BO437" s="75">
        <f t="shared" ref="BO437:BO449" si="2015">IF(Q437-BM437&gt;0,Q437-BM437,0)</f>
        <v>0</v>
      </c>
      <c r="BP437" s="81">
        <f t="shared" ref="BP437:BP449" si="2016">IF(BN437+BO437&gt;0,BN437+BO437,0)</f>
        <v>0</v>
      </c>
      <c r="BQ437" s="81">
        <f t="shared" ref="BQ437:BQ449" si="2017">IF(U437=0,0,U437)</f>
        <v>0</v>
      </c>
      <c r="BR437" s="81">
        <f t="shared" ref="BR437:BR449" si="2018">IF(W437=0,0,W437)</f>
        <v>0</v>
      </c>
      <c r="BS437" s="81">
        <f t="shared" ref="BS437:BS449" si="2019">IF(BQ437+BR437&gt;0,BQ437+BR437,0)</f>
        <v>0</v>
      </c>
      <c r="BT437" s="81">
        <f t="shared" ref="BT437:BT449" si="2020">IF(V437&gt;0,V437,0)</f>
        <v>0</v>
      </c>
      <c r="BU437" s="81">
        <f t="shared" ref="BU437:BU449" si="2021">IF(BP437=0,0,BP437)</f>
        <v>0</v>
      </c>
      <c r="BV437" s="81">
        <f t="shared" ref="BV437:BV449" si="2022">IF(BS437=0,0,BS437)</f>
        <v>0</v>
      </c>
      <c r="BW437" s="81">
        <f t="shared" ref="BW437:BW449" si="2023">IF(BP437+BT437+BV437&gt;0,BP437+BT437+BV437,0)</f>
        <v>0</v>
      </c>
      <c r="BX437" s="1"/>
      <c r="BY437" s="1"/>
      <c r="BZ437" s="1"/>
      <c r="CA437" s="1"/>
      <c r="CB437" s="1"/>
      <c r="CC437" s="1"/>
      <c r="CD437" s="1"/>
      <c r="CE437" s="1"/>
      <c r="CF437" s="1"/>
      <c r="CG437" s="1"/>
    </row>
    <row r="438" spans="1:85" ht="15.75" customHeight="1">
      <c r="A438" s="145"/>
      <c r="B438" s="142" t="s">
        <v>775</v>
      </c>
      <c r="C438" s="86" t="s">
        <v>757</v>
      </c>
      <c r="D438" s="87" t="s">
        <v>776</v>
      </c>
      <c r="E438" s="70"/>
      <c r="F438" s="71"/>
      <c r="G438" s="71">
        <f t="shared" si="2007"/>
        <v>0</v>
      </c>
      <c r="H438" s="70"/>
      <c r="I438" s="72">
        <f t="shared" si="1737"/>
        <v>0</v>
      </c>
      <c r="J438" s="72">
        <f t="shared" si="1738"/>
        <v>0</v>
      </c>
      <c r="K438" s="107"/>
      <c r="L438" s="81">
        <v>2419.73</v>
      </c>
      <c r="M438" s="81"/>
      <c r="N438" s="88"/>
      <c r="O438" s="77">
        <f t="shared" ref="O438:Q438" si="2024">AA438+AD438+AG438+AJ438+AM438+AP438+AS438+AV438+AY438+BB438+BE438+BH438</f>
        <v>0</v>
      </c>
      <c r="P438" s="77">
        <f t="shared" si="2024"/>
        <v>2419.73</v>
      </c>
      <c r="Q438" s="77">
        <f t="shared" si="2024"/>
        <v>0</v>
      </c>
      <c r="R438" s="77">
        <f t="shared" ref="R438:T438" si="2025">IF(BK438=0,SUM(AA438+AD438+AG438+AJ438+AM438+AP438+AS438+AV438+AY438+BB438+BE438+BH438),BK438)</f>
        <v>0</v>
      </c>
      <c r="S438" s="77">
        <f t="shared" si="2025"/>
        <v>2419.73</v>
      </c>
      <c r="T438" s="77">
        <f t="shared" si="2025"/>
        <v>0</v>
      </c>
      <c r="U438" s="79">
        <f t="shared" si="2010"/>
        <v>0</v>
      </c>
      <c r="V438" s="79">
        <f t="shared" si="2011"/>
        <v>0</v>
      </c>
      <c r="W438" s="79">
        <f t="shared" si="2012"/>
        <v>0</v>
      </c>
      <c r="X438" s="80">
        <f t="shared" ref="X438:Y438" si="2026">IF(O438&gt;0,O438/K438,0)</f>
        <v>0</v>
      </c>
      <c r="Y438" s="80">
        <f t="shared" si="2026"/>
        <v>1</v>
      </c>
      <c r="Z438" s="80">
        <f t="shared" si="1518"/>
        <v>0</v>
      </c>
      <c r="AA438" s="81"/>
      <c r="AB438" s="81"/>
      <c r="AC438" s="81"/>
      <c r="AD438" s="81"/>
      <c r="AE438" s="83"/>
      <c r="AF438" s="83"/>
      <c r="AG438" s="83"/>
      <c r="AH438" s="83"/>
      <c r="AI438" s="81"/>
      <c r="AJ438" s="81"/>
      <c r="AK438" s="81"/>
      <c r="AL438" s="81"/>
      <c r="AM438" s="81"/>
      <c r="AN438" s="81"/>
      <c r="AO438" s="81"/>
      <c r="AP438" s="81"/>
      <c r="AQ438" s="81"/>
      <c r="AR438" s="81"/>
      <c r="AS438" s="81"/>
      <c r="AT438" s="82">
        <v>1375.46</v>
      </c>
      <c r="AU438" s="81"/>
      <c r="AV438" s="81"/>
      <c r="AW438" s="82">
        <v>1044.27</v>
      </c>
      <c r="AX438" s="81"/>
      <c r="AY438" s="81"/>
      <c r="AZ438" s="81"/>
      <c r="BA438" s="81"/>
      <c r="BB438" s="81"/>
      <c r="BC438" s="81"/>
      <c r="BD438" s="81"/>
      <c r="BE438" s="81"/>
      <c r="BF438" s="81"/>
      <c r="BG438" s="81"/>
      <c r="BH438" s="81"/>
      <c r="BI438" s="81"/>
      <c r="BJ438" s="81"/>
      <c r="BK438" s="82">
        <v>0</v>
      </c>
      <c r="BL438" s="82">
        <v>2419.73</v>
      </c>
      <c r="BM438" s="82">
        <v>0</v>
      </c>
      <c r="BN438" s="81">
        <f t="shared" si="2014"/>
        <v>0</v>
      </c>
      <c r="BO438" s="75">
        <f t="shared" si="2015"/>
        <v>0</v>
      </c>
      <c r="BP438" s="81">
        <f t="shared" si="2016"/>
        <v>0</v>
      </c>
      <c r="BQ438" s="81">
        <f t="shared" si="2017"/>
        <v>0</v>
      </c>
      <c r="BR438" s="81">
        <f t="shared" si="2018"/>
        <v>0</v>
      </c>
      <c r="BS438" s="81">
        <f t="shared" si="2019"/>
        <v>0</v>
      </c>
      <c r="BT438" s="81">
        <f t="shared" si="2020"/>
        <v>0</v>
      </c>
      <c r="BU438" s="81">
        <f t="shared" si="2021"/>
        <v>0</v>
      </c>
      <c r="BV438" s="81">
        <f t="shared" si="2022"/>
        <v>0</v>
      </c>
      <c r="BW438" s="81">
        <f t="shared" si="2023"/>
        <v>0</v>
      </c>
      <c r="BX438" s="1"/>
      <c r="BY438" s="1"/>
      <c r="BZ438" s="1"/>
      <c r="CA438" s="1"/>
      <c r="CB438" s="1"/>
      <c r="CC438" s="1"/>
      <c r="CD438" s="1"/>
      <c r="CE438" s="1"/>
      <c r="CF438" s="1"/>
      <c r="CG438" s="1"/>
    </row>
    <row r="439" spans="1:85" ht="15.75" customHeight="1">
      <c r="A439" s="145"/>
      <c r="B439" s="132" t="s">
        <v>777</v>
      </c>
      <c r="C439" s="86" t="s">
        <v>757</v>
      </c>
      <c r="D439" s="87" t="s">
        <v>778</v>
      </c>
      <c r="E439" s="70"/>
      <c r="F439" s="71"/>
      <c r="G439" s="71">
        <f t="shared" si="2007"/>
        <v>0</v>
      </c>
      <c r="H439" s="70"/>
      <c r="I439" s="72">
        <f t="shared" si="1737"/>
        <v>0</v>
      </c>
      <c r="J439" s="72">
        <f t="shared" si="1738"/>
        <v>0</v>
      </c>
      <c r="K439" s="107"/>
      <c r="L439" s="81">
        <v>2420.64</v>
      </c>
      <c r="M439" s="81"/>
      <c r="N439" s="88"/>
      <c r="O439" s="77">
        <f t="shared" ref="O439:Q439" si="2027">AA439+AD439+AG439+AJ439+AM439+AP439+AS439+AV439+AY439+BB439+BE439+BH439</f>
        <v>0</v>
      </c>
      <c r="P439" s="77">
        <f t="shared" si="2027"/>
        <v>2420.64</v>
      </c>
      <c r="Q439" s="77">
        <f t="shared" si="2027"/>
        <v>0</v>
      </c>
      <c r="R439" s="77">
        <f t="shared" ref="R439:T439" si="2028">IF(BK439=0,SUM(AA439+AD439+AG439+AJ439+AM439+AP439+AS439+AV439+AY439+BB439+BE439+BH439),BK439)</f>
        <v>0</v>
      </c>
      <c r="S439" s="77">
        <f t="shared" si="2028"/>
        <v>2420.64</v>
      </c>
      <c r="T439" s="77">
        <f t="shared" si="2028"/>
        <v>0</v>
      </c>
      <c r="U439" s="79">
        <f t="shared" si="2010"/>
        <v>0</v>
      </c>
      <c r="V439" s="79">
        <f t="shared" si="2011"/>
        <v>0</v>
      </c>
      <c r="W439" s="79">
        <f t="shared" si="2012"/>
        <v>0</v>
      </c>
      <c r="X439" s="80">
        <f t="shared" ref="X439:Y439" si="2029">IF(O439&gt;0,O439/K439,0)</f>
        <v>0</v>
      </c>
      <c r="Y439" s="80">
        <f t="shared" si="2029"/>
        <v>1</v>
      </c>
      <c r="Z439" s="80">
        <f t="shared" si="1518"/>
        <v>0</v>
      </c>
      <c r="AA439" s="81"/>
      <c r="AB439" s="81"/>
      <c r="AC439" s="81"/>
      <c r="AD439" s="81"/>
      <c r="AE439" s="83"/>
      <c r="AF439" s="83"/>
      <c r="AG439" s="83"/>
      <c r="AH439" s="83"/>
      <c r="AI439" s="81"/>
      <c r="AJ439" s="81"/>
      <c r="AK439" s="81"/>
      <c r="AL439" s="81"/>
      <c r="AM439" s="81"/>
      <c r="AN439" s="81"/>
      <c r="AO439" s="81"/>
      <c r="AP439" s="81"/>
      <c r="AQ439" s="81"/>
      <c r="AR439" s="81"/>
      <c r="AS439" s="81"/>
      <c r="AT439" s="81"/>
      <c r="AU439" s="81"/>
      <c r="AV439" s="81"/>
      <c r="AW439" s="81"/>
      <c r="AX439" s="81"/>
      <c r="AY439" s="81"/>
      <c r="AZ439" s="81">
        <f>2420.64</f>
        <v>2420.64</v>
      </c>
      <c r="BA439" s="81"/>
      <c r="BB439" s="81"/>
      <c r="BC439" s="81"/>
      <c r="BD439" s="81"/>
      <c r="BE439" s="81"/>
      <c r="BF439" s="81"/>
      <c r="BG439" s="81"/>
      <c r="BH439" s="81"/>
      <c r="BI439" s="81"/>
      <c r="BJ439" s="81"/>
      <c r="BK439" s="82">
        <v>0</v>
      </c>
      <c r="BL439" s="82">
        <v>2420.64</v>
      </c>
      <c r="BM439" s="82">
        <v>0</v>
      </c>
      <c r="BN439" s="81">
        <f t="shared" si="2014"/>
        <v>0</v>
      </c>
      <c r="BO439" s="75">
        <f t="shared" si="2015"/>
        <v>0</v>
      </c>
      <c r="BP439" s="81">
        <f t="shared" si="2016"/>
        <v>0</v>
      </c>
      <c r="BQ439" s="81">
        <f t="shared" si="2017"/>
        <v>0</v>
      </c>
      <c r="BR439" s="81">
        <f t="shared" si="2018"/>
        <v>0</v>
      </c>
      <c r="BS439" s="81">
        <f t="shared" si="2019"/>
        <v>0</v>
      </c>
      <c r="BT439" s="81">
        <f t="shared" si="2020"/>
        <v>0</v>
      </c>
      <c r="BU439" s="81">
        <f t="shared" si="2021"/>
        <v>0</v>
      </c>
      <c r="BV439" s="81">
        <f t="shared" si="2022"/>
        <v>0</v>
      </c>
      <c r="BW439" s="81">
        <f t="shared" si="2023"/>
        <v>0</v>
      </c>
      <c r="BX439" s="1"/>
      <c r="BY439" s="1"/>
      <c r="BZ439" s="1"/>
      <c r="CA439" s="1"/>
      <c r="CB439" s="1"/>
      <c r="CC439" s="1"/>
      <c r="CD439" s="1"/>
      <c r="CE439" s="1"/>
      <c r="CF439" s="1"/>
      <c r="CG439" s="1"/>
    </row>
    <row r="440" spans="1:85" ht="15.75" customHeight="1">
      <c r="A440" s="145"/>
      <c r="B440" s="369" t="s">
        <v>779</v>
      </c>
      <c r="C440" s="86" t="s">
        <v>757</v>
      </c>
      <c r="D440" s="87" t="s">
        <v>780</v>
      </c>
      <c r="E440" s="70"/>
      <c r="F440" s="71"/>
      <c r="G440" s="71">
        <f t="shared" si="2007"/>
        <v>0</v>
      </c>
      <c r="H440" s="70"/>
      <c r="I440" s="72">
        <f t="shared" si="1737"/>
        <v>0</v>
      </c>
      <c r="J440" s="72">
        <f t="shared" si="1738"/>
        <v>0</v>
      </c>
      <c r="K440" s="107"/>
      <c r="L440" s="81">
        <v>17502.7</v>
      </c>
      <c r="M440" s="81"/>
      <c r="N440" s="88"/>
      <c r="O440" s="77">
        <f t="shared" ref="O440:Q440" si="2030">AA440+AD440+AG440+AJ440+AM440+AP440+AS440+AV440+AY440+BB440+BE440+BH440</f>
        <v>0</v>
      </c>
      <c r="P440" s="77">
        <f t="shared" si="2030"/>
        <v>17502.7</v>
      </c>
      <c r="Q440" s="77">
        <f t="shared" si="2030"/>
        <v>0</v>
      </c>
      <c r="R440" s="77">
        <f t="shared" ref="R440:T440" si="2031">IF(BK440=0,SUM(AA440+AD440+AG440+AJ440+AM440+AP440+AS440+AV440+AY440+BB440+BE440+BH440),BK440)</f>
        <v>0</v>
      </c>
      <c r="S440" s="77">
        <f t="shared" si="2031"/>
        <v>17502.7</v>
      </c>
      <c r="T440" s="77">
        <f t="shared" si="2031"/>
        <v>0</v>
      </c>
      <c r="U440" s="79">
        <f t="shared" si="2010"/>
        <v>0</v>
      </c>
      <c r="V440" s="79">
        <f t="shared" si="2011"/>
        <v>0</v>
      </c>
      <c r="W440" s="79">
        <f t="shared" si="2012"/>
        <v>0</v>
      </c>
      <c r="X440" s="80">
        <f t="shared" ref="X440:Y440" si="2032">IF(O440&gt;0,O440/K440,0)</f>
        <v>0</v>
      </c>
      <c r="Y440" s="80">
        <f t="shared" si="2032"/>
        <v>1</v>
      </c>
      <c r="Z440" s="80">
        <f t="shared" si="1518"/>
        <v>0</v>
      </c>
      <c r="AA440" s="81"/>
      <c r="AB440" s="81"/>
      <c r="AC440" s="81"/>
      <c r="AD440" s="81"/>
      <c r="AE440" s="83"/>
      <c r="AF440" s="83"/>
      <c r="AG440" s="83"/>
      <c r="AH440" s="83"/>
      <c r="AI440" s="81"/>
      <c r="AJ440" s="81"/>
      <c r="AK440" s="81">
        <f>2754.09+9198.64</f>
        <v>11952.73</v>
      </c>
      <c r="AL440" s="81"/>
      <c r="AM440" s="81"/>
      <c r="AN440" s="81"/>
      <c r="AO440" s="81"/>
      <c r="AP440" s="81"/>
      <c r="AQ440" s="82">
        <v>5549.97</v>
      </c>
      <c r="AR440" s="81"/>
      <c r="AS440" s="81"/>
      <c r="AT440" s="81"/>
      <c r="AU440" s="81"/>
      <c r="AV440" s="81"/>
      <c r="AW440" s="81"/>
      <c r="AX440" s="81"/>
      <c r="AY440" s="81"/>
      <c r="AZ440" s="81"/>
      <c r="BA440" s="81"/>
      <c r="BB440" s="81"/>
      <c r="BC440" s="81"/>
      <c r="BD440" s="81"/>
      <c r="BE440" s="81"/>
      <c r="BF440" s="81"/>
      <c r="BG440" s="81"/>
      <c r="BH440" s="81"/>
      <c r="BI440" s="81"/>
      <c r="BJ440" s="81"/>
      <c r="BK440" s="82">
        <v>0</v>
      </c>
      <c r="BL440" s="82">
        <v>17502.7</v>
      </c>
      <c r="BM440" s="82">
        <v>0</v>
      </c>
      <c r="BN440" s="81">
        <f t="shared" si="2014"/>
        <v>0</v>
      </c>
      <c r="BO440" s="75">
        <f t="shared" si="2015"/>
        <v>0</v>
      </c>
      <c r="BP440" s="81">
        <f t="shared" si="2016"/>
        <v>0</v>
      </c>
      <c r="BQ440" s="81">
        <f t="shared" si="2017"/>
        <v>0</v>
      </c>
      <c r="BR440" s="81">
        <f t="shared" si="2018"/>
        <v>0</v>
      </c>
      <c r="BS440" s="81">
        <f t="shared" si="2019"/>
        <v>0</v>
      </c>
      <c r="BT440" s="81">
        <f t="shared" si="2020"/>
        <v>0</v>
      </c>
      <c r="BU440" s="81">
        <f t="shared" si="2021"/>
        <v>0</v>
      </c>
      <c r="BV440" s="81">
        <f t="shared" si="2022"/>
        <v>0</v>
      </c>
      <c r="BW440" s="81">
        <f t="shared" si="2023"/>
        <v>0</v>
      </c>
      <c r="BX440" s="1"/>
      <c r="BY440" s="1"/>
      <c r="BZ440" s="1"/>
      <c r="CA440" s="1"/>
      <c r="CB440" s="1"/>
      <c r="CC440" s="1"/>
      <c r="CD440" s="1"/>
      <c r="CE440" s="1"/>
      <c r="CF440" s="1"/>
      <c r="CG440" s="1"/>
    </row>
    <row r="441" spans="1:85" ht="15.75" customHeight="1">
      <c r="A441" s="145"/>
      <c r="B441" s="132" t="s">
        <v>781</v>
      </c>
      <c r="C441" s="86" t="s">
        <v>757</v>
      </c>
      <c r="D441" s="87" t="s">
        <v>782</v>
      </c>
      <c r="E441" s="70"/>
      <c r="F441" s="71"/>
      <c r="G441" s="71">
        <f t="shared" si="2007"/>
        <v>0</v>
      </c>
      <c r="H441" s="70"/>
      <c r="I441" s="72">
        <f t="shared" si="1737"/>
        <v>0</v>
      </c>
      <c r="J441" s="72">
        <f t="shared" si="1738"/>
        <v>0</v>
      </c>
      <c r="K441" s="107"/>
      <c r="L441" s="81">
        <v>2420.64</v>
      </c>
      <c r="M441" s="81"/>
      <c r="N441" s="88"/>
      <c r="O441" s="77">
        <f t="shared" ref="O441:Q441" si="2033">AA441+AD441+AG441+AJ441+AM441+AP441+AS441+AV441+AY441+BB441+BE441+BH441</f>
        <v>0</v>
      </c>
      <c r="P441" s="77">
        <f t="shared" si="2033"/>
        <v>2420.64</v>
      </c>
      <c r="Q441" s="77">
        <f t="shared" si="2033"/>
        <v>0</v>
      </c>
      <c r="R441" s="77">
        <f t="shared" ref="R441:T441" si="2034">IF(BK441=0,SUM(AA441+AD441+AG441+AJ441+AM441+AP441+AS441+AV441+AY441+BB441+BE441+BH441),BK441)</f>
        <v>0</v>
      </c>
      <c r="S441" s="77">
        <f t="shared" si="2034"/>
        <v>2420.64</v>
      </c>
      <c r="T441" s="77">
        <f t="shared" si="2034"/>
        <v>0</v>
      </c>
      <c r="U441" s="79">
        <f t="shared" si="2010"/>
        <v>0</v>
      </c>
      <c r="V441" s="79">
        <f t="shared" si="2011"/>
        <v>0</v>
      </c>
      <c r="W441" s="79">
        <f t="shared" si="2012"/>
        <v>0</v>
      </c>
      <c r="X441" s="80">
        <f t="shared" ref="X441:Y441" si="2035">IF(O441&gt;0,O441/K441,0)</f>
        <v>0</v>
      </c>
      <c r="Y441" s="80">
        <f t="shared" si="2035"/>
        <v>1</v>
      </c>
      <c r="Z441" s="80">
        <f t="shared" si="1518"/>
        <v>0</v>
      </c>
      <c r="AA441" s="81"/>
      <c r="AB441" s="81"/>
      <c r="AC441" s="81"/>
      <c r="AD441" s="81"/>
      <c r="AE441" s="83"/>
      <c r="AF441" s="83"/>
      <c r="AG441" s="83"/>
      <c r="AH441" s="83"/>
      <c r="AI441" s="81"/>
      <c r="AJ441" s="81"/>
      <c r="AK441" s="81"/>
      <c r="AL441" s="81"/>
      <c r="AM441" s="81"/>
      <c r="AN441" s="81"/>
      <c r="AO441" s="81"/>
      <c r="AP441" s="81"/>
      <c r="AQ441" s="81"/>
      <c r="AR441" s="81"/>
      <c r="AS441" s="81"/>
      <c r="AT441" s="81"/>
      <c r="AU441" s="81"/>
      <c r="AV441" s="81"/>
      <c r="AW441" s="81"/>
      <c r="AX441" s="81"/>
      <c r="AY441" s="81"/>
      <c r="AZ441" s="81"/>
      <c r="BA441" s="81"/>
      <c r="BB441" s="81"/>
      <c r="BC441" s="81">
        <f>2420.64</f>
        <v>2420.64</v>
      </c>
      <c r="BD441" s="81"/>
      <c r="BE441" s="81"/>
      <c r="BF441" s="81"/>
      <c r="BG441" s="81"/>
      <c r="BH441" s="81"/>
      <c r="BI441" s="81"/>
      <c r="BJ441" s="81"/>
      <c r="BK441" s="82">
        <v>0</v>
      </c>
      <c r="BL441" s="82">
        <v>2420.64</v>
      </c>
      <c r="BM441" s="82">
        <v>0</v>
      </c>
      <c r="BN441" s="81">
        <f t="shared" si="2014"/>
        <v>0</v>
      </c>
      <c r="BO441" s="75">
        <f t="shared" si="2015"/>
        <v>0</v>
      </c>
      <c r="BP441" s="81">
        <f t="shared" si="2016"/>
        <v>0</v>
      </c>
      <c r="BQ441" s="81">
        <f t="shared" si="2017"/>
        <v>0</v>
      </c>
      <c r="BR441" s="81">
        <f t="shared" si="2018"/>
        <v>0</v>
      </c>
      <c r="BS441" s="81">
        <f t="shared" si="2019"/>
        <v>0</v>
      </c>
      <c r="BT441" s="81">
        <f t="shared" si="2020"/>
        <v>0</v>
      </c>
      <c r="BU441" s="81">
        <f t="shared" si="2021"/>
        <v>0</v>
      </c>
      <c r="BV441" s="81">
        <f t="shared" si="2022"/>
        <v>0</v>
      </c>
      <c r="BW441" s="81">
        <f t="shared" si="2023"/>
        <v>0</v>
      </c>
      <c r="BX441" s="1"/>
      <c r="BY441" s="1"/>
      <c r="BZ441" s="1"/>
      <c r="CA441" s="1"/>
      <c r="CB441" s="1"/>
      <c r="CC441" s="1"/>
      <c r="CD441" s="1"/>
      <c r="CE441" s="1"/>
      <c r="CF441" s="1"/>
      <c r="CG441" s="1"/>
    </row>
    <row r="442" spans="1:85" ht="15.75" customHeight="1">
      <c r="A442" s="145"/>
      <c r="B442" s="146" t="s">
        <v>783</v>
      </c>
      <c r="C442" s="86" t="s">
        <v>757</v>
      </c>
      <c r="D442" s="87" t="s">
        <v>784</v>
      </c>
      <c r="E442" s="70"/>
      <c r="F442" s="71"/>
      <c r="G442" s="71">
        <f t="shared" si="2007"/>
        <v>0</v>
      </c>
      <c r="H442" s="70"/>
      <c r="I442" s="72">
        <f t="shared" si="1737"/>
        <v>0</v>
      </c>
      <c r="J442" s="72">
        <f t="shared" si="1738"/>
        <v>0</v>
      </c>
      <c r="K442" s="107"/>
      <c r="L442" s="81">
        <v>17484.68</v>
      </c>
      <c r="M442" s="81"/>
      <c r="N442" s="88"/>
      <c r="O442" s="77">
        <f t="shared" ref="O442:Q442" si="2036">AA442+AD442+AG442+AJ442+AM442+AP442+AS442+AV442+AY442+BB442+BE442+BH442</f>
        <v>0</v>
      </c>
      <c r="P442" s="77">
        <f t="shared" si="2036"/>
        <v>17484.68</v>
      </c>
      <c r="Q442" s="77">
        <f t="shared" si="2036"/>
        <v>0</v>
      </c>
      <c r="R442" s="77">
        <f t="shared" ref="R442:T442" si="2037">IF(BK442=0,SUM(AA442+AD442+AG442+AJ442+AM442+AP442+AS442+AV442+AY442+BB442+BE442+BH442),BK442)</f>
        <v>0</v>
      </c>
      <c r="S442" s="77">
        <f t="shared" si="2037"/>
        <v>17484.68</v>
      </c>
      <c r="T442" s="77">
        <f t="shared" si="2037"/>
        <v>0</v>
      </c>
      <c r="U442" s="79">
        <f t="shared" si="2010"/>
        <v>0</v>
      </c>
      <c r="V442" s="79">
        <f t="shared" si="2011"/>
        <v>0</v>
      </c>
      <c r="W442" s="79">
        <f t="shared" si="2012"/>
        <v>0</v>
      </c>
      <c r="X442" s="80">
        <f t="shared" ref="X442:Y442" si="2038">IF(O442&gt;0,O442/K442,0)</f>
        <v>0</v>
      </c>
      <c r="Y442" s="80">
        <f t="shared" si="2038"/>
        <v>1</v>
      </c>
      <c r="Z442" s="80">
        <f t="shared" si="1518"/>
        <v>0</v>
      </c>
      <c r="AA442" s="81"/>
      <c r="AB442" s="81"/>
      <c r="AC442" s="81"/>
      <c r="AD442" s="81"/>
      <c r="AE442" s="83"/>
      <c r="AF442" s="83"/>
      <c r="AG442" s="83"/>
      <c r="AH442" s="83"/>
      <c r="AI442" s="81"/>
      <c r="AJ442" s="81"/>
      <c r="AK442" s="81"/>
      <c r="AL442" s="81"/>
      <c r="AM442" s="81"/>
      <c r="AN442" s="81"/>
      <c r="AO442" s="81"/>
      <c r="AP442" s="81"/>
      <c r="AQ442" s="81">
        <f>742.18+4039.11</f>
        <v>4781.29</v>
      </c>
      <c r="AR442" s="81"/>
      <c r="AS442" s="81"/>
      <c r="AT442" s="81">
        <f>1225.67+7189.74</f>
        <v>8415.41</v>
      </c>
      <c r="AU442" s="81"/>
      <c r="AV442" s="81"/>
      <c r="AW442" s="82">
        <v>4287.9799999999996</v>
      </c>
      <c r="AX442" s="81"/>
      <c r="AY442" s="81"/>
      <c r="AZ442" s="81"/>
      <c r="BA442" s="81"/>
      <c r="BB442" s="81"/>
      <c r="BC442" s="81"/>
      <c r="BD442" s="81"/>
      <c r="BE442" s="81"/>
      <c r="BF442" s="81"/>
      <c r="BG442" s="81"/>
      <c r="BH442" s="81"/>
      <c r="BI442" s="81"/>
      <c r="BJ442" s="81"/>
      <c r="BK442" s="82">
        <v>0</v>
      </c>
      <c r="BL442" s="82">
        <v>17484.68</v>
      </c>
      <c r="BM442" s="82">
        <v>0</v>
      </c>
      <c r="BN442" s="81">
        <f t="shared" si="2014"/>
        <v>0</v>
      </c>
      <c r="BO442" s="75">
        <f t="shared" si="2015"/>
        <v>0</v>
      </c>
      <c r="BP442" s="81">
        <f t="shared" si="2016"/>
        <v>0</v>
      </c>
      <c r="BQ442" s="81">
        <f t="shared" si="2017"/>
        <v>0</v>
      </c>
      <c r="BR442" s="81">
        <f t="shared" si="2018"/>
        <v>0</v>
      </c>
      <c r="BS442" s="81">
        <f t="shared" si="2019"/>
        <v>0</v>
      </c>
      <c r="BT442" s="81">
        <f t="shared" si="2020"/>
        <v>0</v>
      </c>
      <c r="BU442" s="81">
        <f t="shared" si="2021"/>
        <v>0</v>
      </c>
      <c r="BV442" s="81">
        <f t="shared" si="2022"/>
        <v>0</v>
      </c>
      <c r="BW442" s="81">
        <f t="shared" si="2023"/>
        <v>0</v>
      </c>
      <c r="BX442" s="1"/>
      <c r="BY442" s="1"/>
      <c r="BZ442" s="1"/>
      <c r="CA442" s="1"/>
      <c r="CB442" s="1"/>
      <c r="CC442" s="1"/>
      <c r="CD442" s="1"/>
      <c r="CE442" s="1"/>
      <c r="CF442" s="1"/>
      <c r="CG442" s="1"/>
    </row>
    <row r="443" spans="1:85" ht="15.75" customHeight="1">
      <c r="A443" s="370"/>
      <c r="B443" s="115" t="s">
        <v>785</v>
      </c>
      <c r="C443" s="86" t="s">
        <v>757</v>
      </c>
      <c r="D443" s="87" t="s">
        <v>774</v>
      </c>
      <c r="E443" s="70"/>
      <c r="F443" s="71"/>
      <c r="G443" s="71">
        <f t="shared" si="2007"/>
        <v>0</v>
      </c>
      <c r="H443" s="70"/>
      <c r="I443" s="72">
        <f t="shared" si="1737"/>
        <v>0</v>
      </c>
      <c r="J443" s="72">
        <f t="shared" si="1738"/>
        <v>0</v>
      </c>
      <c r="K443" s="107"/>
      <c r="L443" s="81">
        <v>19289.41</v>
      </c>
      <c r="M443" s="81"/>
      <c r="N443" s="88"/>
      <c r="O443" s="77">
        <f t="shared" ref="O443:Q443" si="2039">AA443+AD443+AG443+AJ443+AM443+AP443+AS443+AV443+AY443+BB443+BE443+BH443</f>
        <v>0</v>
      </c>
      <c r="P443" s="77">
        <f t="shared" si="2039"/>
        <v>19289.41</v>
      </c>
      <c r="Q443" s="77">
        <f t="shared" si="2039"/>
        <v>0</v>
      </c>
      <c r="R443" s="77">
        <f t="shared" ref="R443:T443" si="2040">IF(BK443=0,SUM(AA443+AD443+AG443+AJ443+AM443+AP443+AS443+AV443+AY443+BB443+BE443+BH443),BK443)</f>
        <v>0</v>
      </c>
      <c r="S443" s="77">
        <f t="shared" si="2040"/>
        <v>19289.41</v>
      </c>
      <c r="T443" s="77">
        <f t="shared" si="2040"/>
        <v>0</v>
      </c>
      <c r="U443" s="79">
        <f t="shared" si="2010"/>
        <v>0</v>
      </c>
      <c r="V443" s="79">
        <f t="shared" si="2011"/>
        <v>0</v>
      </c>
      <c r="W443" s="79">
        <f t="shared" si="2012"/>
        <v>0</v>
      </c>
      <c r="X443" s="80">
        <f t="shared" ref="X443:Y443" si="2041">IF(O443&gt;0,O443/K443,0)</f>
        <v>0</v>
      </c>
      <c r="Y443" s="80">
        <f t="shared" si="2041"/>
        <v>1</v>
      </c>
      <c r="Z443" s="80">
        <f t="shared" si="1518"/>
        <v>0</v>
      </c>
      <c r="AA443" s="81"/>
      <c r="AB443" s="81"/>
      <c r="AC443" s="81"/>
      <c r="AD443" s="81"/>
      <c r="AE443" s="83"/>
      <c r="AF443" s="83"/>
      <c r="AG443" s="83"/>
      <c r="AH443" s="83"/>
      <c r="AI443" s="81"/>
      <c r="AJ443" s="81"/>
      <c r="AK443" s="82">
        <v>16110.81</v>
      </c>
      <c r="AL443" s="81"/>
      <c r="AM443" s="81"/>
      <c r="AN443" s="81"/>
      <c r="AO443" s="81"/>
      <c r="AP443" s="81"/>
      <c r="AQ443" s="82">
        <v>3178.6</v>
      </c>
      <c r="AR443" s="81"/>
      <c r="AS443" s="81"/>
      <c r="AT443" s="81"/>
      <c r="AU443" s="81"/>
      <c r="AV443" s="81"/>
      <c r="AW443" s="81"/>
      <c r="AX443" s="81"/>
      <c r="AY443" s="81"/>
      <c r="AZ443" s="81"/>
      <c r="BA443" s="81"/>
      <c r="BB443" s="81"/>
      <c r="BC443" s="81"/>
      <c r="BD443" s="81"/>
      <c r="BE443" s="81"/>
      <c r="BF443" s="81"/>
      <c r="BG443" s="81"/>
      <c r="BH443" s="81"/>
      <c r="BI443" s="81"/>
      <c r="BJ443" s="81"/>
      <c r="BK443" s="82">
        <v>0</v>
      </c>
      <c r="BL443" s="82">
        <v>19289.41</v>
      </c>
      <c r="BM443" s="82">
        <v>0</v>
      </c>
      <c r="BN443" s="81">
        <f t="shared" si="2014"/>
        <v>0</v>
      </c>
      <c r="BO443" s="75">
        <f t="shared" si="2015"/>
        <v>0</v>
      </c>
      <c r="BP443" s="81">
        <f t="shared" si="2016"/>
        <v>0</v>
      </c>
      <c r="BQ443" s="81">
        <f t="shared" si="2017"/>
        <v>0</v>
      </c>
      <c r="BR443" s="81">
        <f t="shared" si="2018"/>
        <v>0</v>
      </c>
      <c r="BS443" s="81">
        <f t="shared" si="2019"/>
        <v>0</v>
      </c>
      <c r="BT443" s="81">
        <f t="shared" si="2020"/>
        <v>0</v>
      </c>
      <c r="BU443" s="81">
        <f t="shared" si="2021"/>
        <v>0</v>
      </c>
      <c r="BV443" s="81">
        <f t="shared" si="2022"/>
        <v>0</v>
      </c>
      <c r="BW443" s="81">
        <f t="shared" si="2023"/>
        <v>0</v>
      </c>
      <c r="BX443" s="1"/>
      <c r="BY443" s="1"/>
      <c r="BZ443" s="1"/>
      <c r="CA443" s="1"/>
      <c r="CB443" s="1"/>
      <c r="CC443" s="1"/>
      <c r="CD443" s="1"/>
      <c r="CE443" s="1"/>
      <c r="CF443" s="1"/>
      <c r="CG443" s="1"/>
    </row>
    <row r="444" spans="1:85" ht="15.75" customHeight="1">
      <c r="A444" s="193"/>
      <c r="B444" s="85" t="s">
        <v>786</v>
      </c>
      <c r="C444" s="86" t="s">
        <v>757</v>
      </c>
      <c r="D444" s="87" t="s">
        <v>787</v>
      </c>
      <c r="E444" s="70"/>
      <c r="F444" s="71"/>
      <c r="G444" s="71">
        <f t="shared" si="2007"/>
        <v>0</v>
      </c>
      <c r="H444" s="70"/>
      <c r="I444" s="72">
        <f t="shared" si="1737"/>
        <v>0</v>
      </c>
      <c r="J444" s="72">
        <f t="shared" si="1738"/>
        <v>0</v>
      </c>
      <c r="K444" s="107"/>
      <c r="L444" s="81">
        <v>3019.44</v>
      </c>
      <c r="M444" s="81"/>
      <c r="N444" s="88"/>
      <c r="O444" s="77">
        <f t="shared" ref="O444:Q444" si="2042">AA444+AD444+AG444+AJ444+AM444+AP444+AS444+AV444+AY444+BB444+BE444+BH444</f>
        <v>0</v>
      </c>
      <c r="P444" s="77">
        <f t="shared" si="2042"/>
        <v>3019.44</v>
      </c>
      <c r="Q444" s="77">
        <f t="shared" si="2042"/>
        <v>0</v>
      </c>
      <c r="R444" s="77">
        <f t="shared" ref="R444:T444" si="2043">IF(BK444=0,SUM(AA444+AD444+AG444+AJ444+AM444+AP444+AS444+AV444+AY444+BB444+BE444+BH444),BK444)</f>
        <v>0</v>
      </c>
      <c r="S444" s="77">
        <f t="shared" si="2043"/>
        <v>3019.44</v>
      </c>
      <c r="T444" s="77">
        <f t="shared" si="2043"/>
        <v>0</v>
      </c>
      <c r="U444" s="79">
        <f t="shared" si="2010"/>
        <v>0</v>
      </c>
      <c r="V444" s="79">
        <f t="shared" si="2011"/>
        <v>0</v>
      </c>
      <c r="W444" s="79">
        <f t="shared" si="2012"/>
        <v>0</v>
      </c>
      <c r="X444" s="80">
        <f t="shared" ref="X444:Y444" si="2044">IF(O444&gt;0,O444/K444,0)</f>
        <v>0</v>
      </c>
      <c r="Y444" s="80">
        <f t="shared" si="2044"/>
        <v>1</v>
      </c>
      <c r="Z444" s="80">
        <f t="shared" si="1518"/>
        <v>0</v>
      </c>
      <c r="AA444" s="81"/>
      <c r="AB444" s="81"/>
      <c r="AC444" s="81"/>
      <c r="AD444" s="81"/>
      <c r="AE444" s="83"/>
      <c r="AF444" s="83"/>
      <c r="AG444" s="83"/>
      <c r="AH444" s="83"/>
      <c r="AI444" s="81"/>
      <c r="AJ444" s="81"/>
      <c r="AK444" s="81"/>
      <c r="AL444" s="81"/>
      <c r="AM444" s="81"/>
      <c r="AN444" s="81"/>
      <c r="AO444" s="81"/>
      <c r="AP444" s="81"/>
      <c r="AQ444" s="82">
        <v>1170.75</v>
      </c>
      <c r="AR444" s="81"/>
      <c r="AS444" s="81"/>
      <c r="AT444" s="81"/>
      <c r="AU444" s="81"/>
      <c r="AV444" s="81"/>
      <c r="AW444" s="82">
        <v>1848.69</v>
      </c>
      <c r="AX444" s="81"/>
      <c r="AY444" s="81"/>
      <c r="AZ444" s="81"/>
      <c r="BA444" s="81"/>
      <c r="BB444" s="81"/>
      <c r="BC444" s="81"/>
      <c r="BD444" s="81"/>
      <c r="BE444" s="81"/>
      <c r="BF444" s="81"/>
      <c r="BG444" s="81"/>
      <c r="BH444" s="81"/>
      <c r="BI444" s="81"/>
      <c r="BJ444" s="81"/>
      <c r="BK444" s="82">
        <v>0</v>
      </c>
      <c r="BL444" s="82">
        <v>3019.44</v>
      </c>
      <c r="BM444" s="82">
        <v>0</v>
      </c>
      <c r="BN444" s="81">
        <f t="shared" si="2014"/>
        <v>0</v>
      </c>
      <c r="BO444" s="75">
        <f t="shared" si="2015"/>
        <v>0</v>
      </c>
      <c r="BP444" s="81">
        <f t="shared" si="2016"/>
        <v>0</v>
      </c>
      <c r="BQ444" s="81">
        <f t="shared" si="2017"/>
        <v>0</v>
      </c>
      <c r="BR444" s="81">
        <f t="shared" si="2018"/>
        <v>0</v>
      </c>
      <c r="BS444" s="81">
        <f t="shared" si="2019"/>
        <v>0</v>
      </c>
      <c r="BT444" s="81">
        <f t="shared" si="2020"/>
        <v>0</v>
      </c>
      <c r="BU444" s="81">
        <f t="shared" si="2021"/>
        <v>0</v>
      </c>
      <c r="BV444" s="81">
        <f t="shared" si="2022"/>
        <v>0</v>
      </c>
      <c r="BW444" s="81">
        <f t="shared" si="2023"/>
        <v>0</v>
      </c>
      <c r="BX444" s="1"/>
      <c r="BY444" s="1"/>
      <c r="BZ444" s="1"/>
      <c r="CA444" s="1"/>
      <c r="CB444" s="1"/>
      <c r="CC444" s="1"/>
      <c r="CD444" s="1"/>
      <c r="CE444" s="1"/>
      <c r="CF444" s="1"/>
      <c r="CG444" s="1"/>
    </row>
    <row r="445" spans="1:85" ht="15.75" customHeight="1">
      <c r="A445" s="145"/>
      <c r="B445" s="132" t="s">
        <v>788</v>
      </c>
      <c r="C445" s="86" t="s">
        <v>757</v>
      </c>
      <c r="D445" s="87" t="s">
        <v>789</v>
      </c>
      <c r="E445" s="70"/>
      <c r="F445" s="71"/>
      <c r="G445" s="71">
        <f t="shared" si="2007"/>
        <v>0</v>
      </c>
      <c r="H445" s="70"/>
      <c r="I445" s="72">
        <f t="shared" si="1737"/>
        <v>0</v>
      </c>
      <c r="J445" s="72">
        <f t="shared" si="1738"/>
        <v>0</v>
      </c>
      <c r="K445" s="107"/>
      <c r="L445" s="81">
        <v>7231.22</v>
      </c>
      <c r="M445" s="81"/>
      <c r="N445" s="88"/>
      <c r="O445" s="77">
        <f t="shared" ref="O445:Q445" si="2045">AA445+AD445+AG445+AJ445+AM445+AP445+AS445+AV445+AY445+BB445+BE445+BH445</f>
        <v>0</v>
      </c>
      <c r="P445" s="77">
        <f t="shared" si="2045"/>
        <v>7231.2199999999993</v>
      </c>
      <c r="Q445" s="77">
        <f t="shared" si="2045"/>
        <v>0</v>
      </c>
      <c r="R445" s="77">
        <f t="shared" ref="R445:T445" si="2046">IF(BK445=0,SUM(AA445+AD445+AG445+AJ445+AM445+AP445+AS445+AV445+AY445+BB445+BE445+BH445),BK445)</f>
        <v>0</v>
      </c>
      <c r="S445" s="77">
        <f t="shared" si="2046"/>
        <v>7231.22</v>
      </c>
      <c r="T445" s="77">
        <f t="shared" si="2046"/>
        <v>0</v>
      </c>
      <c r="U445" s="79">
        <f t="shared" si="2010"/>
        <v>0</v>
      </c>
      <c r="V445" s="79">
        <f t="shared" si="2011"/>
        <v>0</v>
      </c>
      <c r="W445" s="79">
        <f t="shared" si="2012"/>
        <v>0</v>
      </c>
      <c r="X445" s="80">
        <f t="shared" ref="X445:Y445" si="2047">IF(O445&gt;0,O445/K445,0)</f>
        <v>0</v>
      </c>
      <c r="Y445" s="80">
        <f t="shared" si="2047"/>
        <v>0.99999999999999989</v>
      </c>
      <c r="Z445" s="80">
        <f t="shared" si="1518"/>
        <v>0</v>
      </c>
      <c r="AA445" s="81"/>
      <c r="AB445" s="81"/>
      <c r="AC445" s="81"/>
      <c r="AD445" s="81"/>
      <c r="AE445" s="128">
        <v>947.38</v>
      </c>
      <c r="AF445" s="83"/>
      <c r="AG445" s="83"/>
      <c r="AH445" s="83"/>
      <c r="AI445" s="81"/>
      <c r="AJ445" s="81"/>
      <c r="AK445" s="82">
        <v>2742.45</v>
      </c>
      <c r="AL445" s="81"/>
      <c r="AM445" s="81"/>
      <c r="AN445" s="81"/>
      <c r="AO445" s="81"/>
      <c r="AP445" s="81"/>
      <c r="AQ445" s="82">
        <v>1408.23</v>
      </c>
      <c r="AR445" s="81"/>
      <c r="AS445" s="81"/>
      <c r="AT445" s="82">
        <v>846.42</v>
      </c>
      <c r="AU445" s="81"/>
      <c r="AV445" s="81"/>
      <c r="AW445" s="81"/>
      <c r="AX445" s="81"/>
      <c r="AY445" s="81"/>
      <c r="AZ445" s="81">
        <f>1286.74</f>
        <v>1286.74</v>
      </c>
      <c r="BA445" s="81"/>
      <c r="BB445" s="81"/>
      <c r="BC445" s="81"/>
      <c r="BD445" s="81"/>
      <c r="BE445" s="81"/>
      <c r="BF445" s="81"/>
      <c r="BG445" s="81"/>
      <c r="BH445" s="81"/>
      <c r="BI445" s="81"/>
      <c r="BJ445" s="81"/>
      <c r="BK445" s="82">
        <v>0</v>
      </c>
      <c r="BL445" s="82">
        <v>7231.22</v>
      </c>
      <c r="BM445" s="82">
        <v>0</v>
      </c>
      <c r="BN445" s="81">
        <f t="shared" si="2014"/>
        <v>0</v>
      </c>
      <c r="BO445" s="75">
        <f t="shared" si="2015"/>
        <v>0</v>
      </c>
      <c r="BP445" s="81">
        <f t="shared" si="2016"/>
        <v>0</v>
      </c>
      <c r="BQ445" s="81">
        <f t="shared" si="2017"/>
        <v>0</v>
      </c>
      <c r="BR445" s="81">
        <f t="shared" si="2018"/>
        <v>0</v>
      </c>
      <c r="BS445" s="81">
        <f t="shared" si="2019"/>
        <v>0</v>
      </c>
      <c r="BT445" s="81">
        <f t="shared" si="2020"/>
        <v>0</v>
      </c>
      <c r="BU445" s="81">
        <f t="shared" si="2021"/>
        <v>0</v>
      </c>
      <c r="BV445" s="81">
        <f t="shared" si="2022"/>
        <v>0</v>
      </c>
      <c r="BW445" s="81">
        <f t="shared" si="2023"/>
        <v>0</v>
      </c>
      <c r="BX445" s="1"/>
      <c r="BY445" s="1"/>
      <c r="BZ445" s="1"/>
      <c r="CA445" s="1"/>
      <c r="CB445" s="1"/>
      <c r="CC445" s="1"/>
      <c r="CD445" s="1"/>
      <c r="CE445" s="1"/>
      <c r="CF445" s="1"/>
      <c r="CG445" s="1"/>
    </row>
    <row r="446" spans="1:85" ht="15.75" customHeight="1">
      <c r="A446" s="145"/>
      <c r="B446" s="146" t="s">
        <v>790</v>
      </c>
      <c r="C446" s="86" t="s">
        <v>757</v>
      </c>
      <c r="D446" s="87" t="s">
        <v>791</v>
      </c>
      <c r="E446" s="70"/>
      <c r="F446" s="71"/>
      <c r="G446" s="71">
        <f t="shared" si="2007"/>
        <v>0</v>
      </c>
      <c r="H446" s="70"/>
      <c r="I446" s="72">
        <f t="shared" si="1737"/>
        <v>0</v>
      </c>
      <c r="J446" s="72">
        <f t="shared" si="1738"/>
        <v>0</v>
      </c>
      <c r="K446" s="107"/>
      <c r="L446" s="81">
        <v>2420.64</v>
      </c>
      <c r="M446" s="81"/>
      <c r="N446" s="88"/>
      <c r="O446" s="77">
        <f t="shared" ref="O446:Q446" si="2048">AA446+AD446+AG446+AJ446+AM446+AP446+AS446+AV446+AY446+BB446+BE446+BH446</f>
        <v>0</v>
      </c>
      <c r="P446" s="77">
        <f t="shared" si="2048"/>
        <v>2420.64</v>
      </c>
      <c r="Q446" s="77">
        <f t="shared" si="2048"/>
        <v>0</v>
      </c>
      <c r="R446" s="77">
        <f t="shared" ref="R446:T446" si="2049">IF(BK446=0,SUM(AA446+AD446+AG446+AJ446+AM446+AP446+AS446+AV446+AY446+BB446+BE446+BH446),BK446)</f>
        <v>0</v>
      </c>
      <c r="S446" s="77">
        <f t="shared" si="2049"/>
        <v>2420.64</v>
      </c>
      <c r="T446" s="77">
        <f t="shared" si="2049"/>
        <v>0</v>
      </c>
      <c r="U446" s="79">
        <f t="shared" si="2010"/>
        <v>0</v>
      </c>
      <c r="V446" s="79">
        <f t="shared" si="2011"/>
        <v>0</v>
      </c>
      <c r="W446" s="79">
        <f t="shared" si="2012"/>
        <v>0</v>
      </c>
      <c r="X446" s="80">
        <f t="shared" ref="X446:Y446" si="2050">IF(O446&gt;0,O446/K446,0)</f>
        <v>0</v>
      </c>
      <c r="Y446" s="80">
        <f t="shared" si="2050"/>
        <v>1</v>
      </c>
      <c r="Z446" s="80">
        <f t="shared" si="1518"/>
        <v>0</v>
      </c>
      <c r="AA446" s="81"/>
      <c r="AB446" s="81"/>
      <c r="AC446" s="81"/>
      <c r="AD446" s="81"/>
      <c r="AE446" s="83"/>
      <c r="AF446" s="83"/>
      <c r="AG446" s="83"/>
      <c r="AH446" s="83"/>
      <c r="AI446" s="81"/>
      <c r="AJ446" s="81"/>
      <c r="AK446" s="81"/>
      <c r="AL446" s="81"/>
      <c r="AM446" s="81"/>
      <c r="AN446" s="81"/>
      <c r="AO446" s="81"/>
      <c r="AP446" s="81"/>
      <c r="AQ446" s="81"/>
      <c r="AR446" s="81"/>
      <c r="AS446" s="81"/>
      <c r="AT446" s="81"/>
      <c r="AU446" s="81"/>
      <c r="AV446" s="81"/>
      <c r="AW446" s="82">
        <v>1568.25</v>
      </c>
      <c r="AX446" s="81"/>
      <c r="AY446" s="81"/>
      <c r="AZ446" s="81">
        <f>852.39</f>
        <v>852.39</v>
      </c>
      <c r="BA446" s="81"/>
      <c r="BB446" s="81"/>
      <c r="BC446" s="81"/>
      <c r="BD446" s="81"/>
      <c r="BE446" s="81"/>
      <c r="BF446" s="81"/>
      <c r="BG446" s="81"/>
      <c r="BH446" s="81"/>
      <c r="BI446" s="81"/>
      <c r="BJ446" s="81"/>
      <c r="BK446" s="82">
        <v>0</v>
      </c>
      <c r="BL446" s="82">
        <v>2420.64</v>
      </c>
      <c r="BM446" s="82">
        <v>0</v>
      </c>
      <c r="BN446" s="81">
        <f t="shared" si="2014"/>
        <v>0</v>
      </c>
      <c r="BO446" s="75">
        <f t="shared" si="2015"/>
        <v>0</v>
      </c>
      <c r="BP446" s="81">
        <f t="shared" si="2016"/>
        <v>0</v>
      </c>
      <c r="BQ446" s="81">
        <f t="shared" si="2017"/>
        <v>0</v>
      </c>
      <c r="BR446" s="81">
        <f t="shared" si="2018"/>
        <v>0</v>
      </c>
      <c r="BS446" s="81">
        <f t="shared" si="2019"/>
        <v>0</v>
      </c>
      <c r="BT446" s="81">
        <f t="shared" si="2020"/>
        <v>0</v>
      </c>
      <c r="BU446" s="81">
        <f t="shared" si="2021"/>
        <v>0</v>
      </c>
      <c r="BV446" s="81">
        <f t="shared" si="2022"/>
        <v>0</v>
      </c>
      <c r="BW446" s="81">
        <f t="shared" si="2023"/>
        <v>0</v>
      </c>
      <c r="BX446" s="1"/>
      <c r="BY446" s="1"/>
      <c r="BZ446" s="1"/>
      <c r="CA446" s="1"/>
      <c r="CB446" s="1"/>
      <c r="CC446" s="1"/>
      <c r="CD446" s="1"/>
      <c r="CE446" s="1"/>
      <c r="CF446" s="1"/>
      <c r="CG446" s="1"/>
    </row>
    <row r="447" spans="1:85" ht="15.75" customHeight="1">
      <c r="A447" s="145"/>
      <c r="B447" s="146" t="s">
        <v>792</v>
      </c>
      <c r="C447" s="86" t="s">
        <v>757</v>
      </c>
      <c r="D447" s="87" t="s">
        <v>793</v>
      </c>
      <c r="E447" s="70"/>
      <c r="F447" s="71"/>
      <c r="G447" s="71">
        <f t="shared" si="2007"/>
        <v>0</v>
      </c>
      <c r="H447" s="70"/>
      <c r="I447" s="72">
        <f t="shared" si="1737"/>
        <v>0</v>
      </c>
      <c r="J447" s="72">
        <f t="shared" si="1738"/>
        <v>0</v>
      </c>
      <c r="K447" s="107"/>
      <c r="L447" s="81">
        <v>2420.64</v>
      </c>
      <c r="M447" s="81"/>
      <c r="N447" s="88"/>
      <c r="O447" s="77">
        <f t="shared" ref="O447:Q447" si="2051">AA447+AD447+AG447+AJ447+AM447+AP447+AS447+AV447+AY447+BB447+BE447+BH447</f>
        <v>0</v>
      </c>
      <c r="P447" s="77">
        <f t="shared" si="2051"/>
        <v>2420.64</v>
      </c>
      <c r="Q447" s="77">
        <f t="shared" si="2051"/>
        <v>0</v>
      </c>
      <c r="R447" s="77">
        <f t="shared" ref="R447:T447" si="2052">IF(BK447=0,SUM(AA447+AD447+AG447+AJ447+AM447+AP447+AS447+AV447+AY447+BB447+BE447+BH447),BK447)</f>
        <v>0</v>
      </c>
      <c r="S447" s="77">
        <f t="shared" si="2052"/>
        <v>2420.64</v>
      </c>
      <c r="T447" s="77">
        <f t="shared" si="2052"/>
        <v>0</v>
      </c>
      <c r="U447" s="79">
        <f t="shared" si="2010"/>
        <v>0</v>
      </c>
      <c r="V447" s="79">
        <f t="shared" si="2011"/>
        <v>0</v>
      </c>
      <c r="W447" s="79">
        <f t="shared" si="2012"/>
        <v>0</v>
      </c>
      <c r="X447" s="80">
        <f t="shared" ref="X447:Y447" si="2053">IF(O447&gt;0,O447/K447,0)</f>
        <v>0</v>
      </c>
      <c r="Y447" s="80">
        <f t="shared" si="2053"/>
        <v>1</v>
      </c>
      <c r="Z447" s="80">
        <f t="shared" si="1518"/>
        <v>0</v>
      </c>
      <c r="AA447" s="81"/>
      <c r="AB447" s="81"/>
      <c r="AC447" s="81"/>
      <c r="AD447" s="81"/>
      <c r="AE447" s="83"/>
      <c r="AF447" s="83"/>
      <c r="AG447" s="83"/>
      <c r="AH447" s="83"/>
      <c r="AI447" s="81"/>
      <c r="AJ447" s="81"/>
      <c r="AK447" s="81"/>
      <c r="AL447" s="81"/>
      <c r="AM447" s="81"/>
      <c r="AN447" s="81"/>
      <c r="AO447" s="81"/>
      <c r="AP447" s="81"/>
      <c r="AQ447" s="81"/>
      <c r="AR447" s="81"/>
      <c r="AS447" s="81"/>
      <c r="AT447" s="81"/>
      <c r="AU447" s="81"/>
      <c r="AV447" s="81"/>
      <c r="AW447" s="81"/>
      <c r="AX447" s="81"/>
      <c r="AY447" s="81"/>
      <c r="AZ447" s="81"/>
      <c r="BA447" s="81"/>
      <c r="BB447" s="81"/>
      <c r="BC447" s="81">
        <f>2420.64</f>
        <v>2420.64</v>
      </c>
      <c r="BD447" s="81"/>
      <c r="BE447" s="81"/>
      <c r="BF447" s="81"/>
      <c r="BG447" s="81"/>
      <c r="BH447" s="81"/>
      <c r="BI447" s="81"/>
      <c r="BJ447" s="81"/>
      <c r="BK447" s="82">
        <v>0</v>
      </c>
      <c r="BL447" s="82">
        <v>2420.64</v>
      </c>
      <c r="BM447" s="82">
        <v>0</v>
      </c>
      <c r="BN447" s="81">
        <f t="shared" si="2014"/>
        <v>0</v>
      </c>
      <c r="BO447" s="75">
        <f t="shared" si="2015"/>
        <v>0</v>
      </c>
      <c r="BP447" s="81">
        <f t="shared" si="2016"/>
        <v>0</v>
      </c>
      <c r="BQ447" s="81">
        <f t="shared" si="2017"/>
        <v>0</v>
      </c>
      <c r="BR447" s="81">
        <f t="shared" si="2018"/>
        <v>0</v>
      </c>
      <c r="BS447" s="81">
        <f t="shared" si="2019"/>
        <v>0</v>
      </c>
      <c r="BT447" s="81">
        <f t="shared" si="2020"/>
        <v>0</v>
      </c>
      <c r="BU447" s="81">
        <f t="shared" si="2021"/>
        <v>0</v>
      </c>
      <c r="BV447" s="81">
        <f t="shared" si="2022"/>
        <v>0</v>
      </c>
      <c r="BW447" s="81">
        <f t="shared" si="2023"/>
        <v>0</v>
      </c>
      <c r="BX447" s="1"/>
      <c r="BY447" s="1"/>
      <c r="BZ447" s="1"/>
      <c r="CA447" s="1"/>
      <c r="CB447" s="1"/>
      <c r="CC447" s="1"/>
      <c r="CD447" s="1"/>
      <c r="CE447" s="1"/>
      <c r="CF447" s="1"/>
      <c r="CG447" s="1"/>
    </row>
    <row r="448" spans="1:85" ht="15.75" customHeight="1">
      <c r="A448" s="145"/>
      <c r="B448" s="146" t="s">
        <v>794</v>
      </c>
      <c r="C448" s="86" t="s">
        <v>757</v>
      </c>
      <c r="D448" s="87" t="s">
        <v>795</v>
      </c>
      <c r="E448" s="70"/>
      <c r="F448" s="71"/>
      <c r="G448" s="71">
        <f t="shared" si="2007"/>
        <v>0</v>
      </c>
      <c r="H448" s="70"/>
      <c r="I448" s="72">
        <f t="shared" si="1737"/>
        <v>0</v>
      </c>
      <c r="J448" s="72">
        <f t="shared" si="1738"/>
        <v>0</v>
      </c>
      <c r="K448" s="107"/>
      <c r="L448" s="81">
        <v>998.01</v>
      </c>
      <c r="M448" s="82">
        <v>0.01</v>
      </c>
      <c r="N448" s="88"/>
      <c r="O448" s="77">
        <f t="shared" ref="O448:Q448" si="2054">AA448+AD448+AG448+AJ448+AM448+AP448+AS448+AV448+AY448+BB448+BE448+BH448</f>
        <v>0</v>
      </c>
      <c r="P448" s="77">
        <f t="shared" si="2054"/>
        <v>998</v>
      </c>
      <c r="Q448" s="77">
        <f t="shared" si="2054"/>
        <v>0</v>
      </c>
      <c r="R448" s="77">
        <f t="shared" ref="R448:T448" si="2055">IF(BK448=0,SUM(AA448+AD448+AG448+AJ448+AM448+AP448+AS448+AV448+AY448+BB448+BE448+BH448),BK448)</f>
        <v>0</v>
      </c>
      <c r="S448" s="77">
        <f t="shared" si="2055"/>
        <v>998</v>
      </c>
      <c r="T448" s="77">
        <f t="shared" si="2055"/>
        <v>0</v>
      </c>
      <c r="U448" s="79">
        <f t="shared" si="2010"/>
        <v>0</v>
      </c>
      <c r="V448" s="79">
        <f t="shared" si="2011"/>
        <v>0</v>
      </c>
      <c r="W448" s="79">
        <f t="shared" si="2012"/>
        <v>0</v>
      </c>
      <c r="X448" s="80">
        <f t="shared" ref="X448:Y448" si="2056">IF(O448&gt;0,O448/K448,0)</f>
        <v>0</v>
      </c>
      <c r="Y448" s="80">
        <f t="shared" si="2056"/>
        <v>0.99998998006032003</v>
      </c>
      <c r="Z448" s="80">
        <f t="shared" si="1518"/>
        <v>0</v>
      </c>
      <c r="AA448" s="81"/>
      <c r="AB448" s="81"/>
      <c r="AC448" s="81"/>
      <c r="AD448" s="81"/>
      <c r="AE448" s="83"/>
      <c r="AF448" s="83"/>
      <c r="AG448" s="83"/>
      <c r="AH448" s="83"/>
      <c r="AI448" s="81"/>
      <c r="AJ448" s="81"/>
      <c r="AK448" s="81"/>
      <c r="AL448" s="81"/>
      <c r="AM448" s="81"/>
      <c r="AN448" s="81"/>
      <c r="AO448" s="81"/>
      <c r="AP448" s="81"/>
      <c r="AQ448" s="82">
        <v>998</v>
      </c>
      <c r="AR448" s="81"/>
      <c r="AS448" s="81"/>
      <c r="AT448" s="81"/>
      <c r="AU448" s="81"/>
      <c r="AV448" s="81"/>
      <c r="AW448" s="81"/>
      <c r="AX448" s="81"/>
      <c r="AY448" s="81"/>
      <c r="AZ448" s="81"/>
      <c r="BA448" s="81"/>
      <c r="BB448" s="81"/>
      <c r="BC448" s="81"/>
      <c r="BD448" s="81"/>
      <c r="BE448" s="81"/>
      <c r="BF448" s="81"/>
      <c r="BG448" s="81"/>
      <c r="BH448" s="81"/>
      <c r="BI448" s="81"/>
      <c r="BJ448" s="81"/>
      <c r="BK448" s="82">
        <v>0</v>
      </c>
      <c r="BL448" s="82">
        <v>998</v>
      </c>
      <c r="BM448" s="82">
        <v>0</v>
      </c>
      <c r="BN448" s="81">
        <f t="shared" si="2014"/>
        <v>0</v>
      </c>
      <c r="BO448" s="75">
        <f t="shared" si="2015"/>
        <v>0</v>
      </c>
      <c r="BP448" s="81">
        <f t="shared" si="2016"/>
        <v>0</v>
      </c>
      <c r="BQ448" s="81">
        <f t="shared" si="2017"/>
        <v>0</v>
      </c>
      <c r="BR448" s="81">
        <f t="shared" si="2018"/>
        <v>0</v>
      </c>
      <c r="BS448" s="81">
        <f t="shared" si="2019"/>
        <v>0</v>
      </c>
      <c r="BT448" s="81">
        <f t="shared" si="2020"/>
        <v>0</v>
      </c>
      <c r="BU448" s="81">
        <f t="shared" si="2021"/>
        <v>0</v>
      </c>
      <c r="BV448" s="81">
        <f t="shared" si="2022"/>
        <v>0</v>
      </c>
      <c r="BW448" s="81">
        <f t="shared" si="2023"/>
        <v>0</v>
      </c>
      <c r="BX448" s="1"/>
      <c r="BY448" s="1"/>
      <c r="BZ448" s="1"/>
      <c r="CA448" s="1"/>
      <c r="CB448" s="1"/>
      <c r="CC448" s="1"/>
      <c r="CD448" s="1"/>
      <c r="CE448" s="1"/>
      <c r="CF448" s="1"/>
      <c r="CG448" s="1"/>
    </row>
    <row r="449" spans="1:85" ht="15.75" customHeight="1">
      <c r="A449" s="253"/>
      <c r="B449" s="115"/>
      <c r="C449" s="86" t="s">
        <v>757</v>
      </c>
      <c r="D449" s="87" t="s">
        <v>796</v>
      </c>
      <c r="E449" s="70"/>
      <c r="F449" s="71"/>
      <c r="G449" s="71">
        <f t="shared" si="2007"/>
        <v>0</v>
      </c>
      <c r="H449" s="197">
        <v>100000</v>
      </c>
      <c r="I449" s="72">
        <f t="shared" si="1737"/>
        <v>0</v>
      </c>
      <c r="J449" s="72">
        <f t="shared" si="1738"/>
        <v>0</v>
      </c>
      <c r="K449" s="107"/>
      <c r="L449" s="81"/>
      <c r="M449" s="81"/>
      <c r="N449" s="88"/>
      <c r="O449" s="77">
        <f t="shared" ref="O449:Q449" si="2057">AA449+AD449+AG449+AJ449+AM449+AP449+AS449+AV449+AY449+BB449+BE449+BH449</f>
        <v>0</v>
      </c>
      <c r="P449" s="77">
        <f t="shared" si="2057"/>
        <v>0</v>
      </c>
      <c r="Q449" s="77">
        <f t="shared" si="2057"/>
        <v>0</v>
      </c>
      <c r="R449" s="77">
        <f t="shared" ref="R449:T449" si="2058">IF(BK449=0,SUM(AA449+AD449+AG449+AJ449+AM449+AP449+AS449+AV449+AY449+BB449+BE449+BH449),BK449)</f>
        <v>0</v>
      </c>
      <c r="S449" s="77">
        <f t="shared" si="2058"/>
        <v>0</v>
      </c>
      <c r="T449" s="77">
        <f t="shared" si="2058"/>
        <v>0</v>
      </c>
      <c r="U449" s="79">
        <f t="shared" si="2010"/>
        <v>0</v>
      </c>
      <c r="V449" s="79">
        <f t="shared" si="2011"/>
        <v>0</v>
      </c>
      <c r="W449" s="79">
        <f t="shared" si="2012"/>
        <v>0</v>
      </c>
      <c r="X449" s="80">
        <f t="shared" ref="X449:Y449" si="2059">IF(O449&gt;0,O449/K449,0)</f>
        <v>0</v>
      </c>
      <c r="Y449" s="80">
        <f t="shared" si="2059"/>
        <v>0</v>
      </c>
      <c r="Z449" s="80">
        <f t="shared" si="1518"/>
        <v>0</v>
      </c>
      <c r="AA449" s="81"/>
      <c r="AB449" s="81"/>
      <c r="AC449" s="81"/>
      <c r="AD449" s="81"/>
      <c r="AE449" s="83"/>
      <c r="AF449" s="83"/>
      <c r="AG449" s="83"/>
      <c r="AH449" s="83"/>
      <c r="AI449" s="81"/>
      <c r="AJ449" s="81"/>
      <c r="AK449" s="81"/>
      <c r="AL449" s="81"/>
      <c r="AM449" s="81"/>
      <c r="AN449" s="81"/>
      <c r="AO449" s="81"/>
      <c r="AP449" s="81"/>
      <c r="AQ449" s="81"/>
      <c r="AR449" s="81"/>
      <c r="AS449" s="81"/>
      <c r="AT449" s="81"/>
      <c r="AU449" s="81"/>
      <c r="AV449" s="81"/>
      <c r="AW449" s="81"/>
      <c r="AX449" s="81"/>
      <c r="AY449" s="81"/>
      <c r="AZ449" s="81"/>
      <c r="BA449" s="81"/>
      <c r="BB449" s="81"/>
      <c r="BC449" s="81"/>
      <c r="BD449" s="81"/>
      <c r="BE449" s="81"/>
      <c r="BF449" s="81"/>
      <c r="BG449" s="81"/>
      <c r="BH449" s="81"/>
      <c r="BI449" s="81"/>
      <c r="BJ449" s="81"/>
      <c r="BK449" s="82">
        <v>0</v>
      </c>
      <c r="BL449" s="82">
        <v>0</v>
      </c>
      <c r="BM449" s="82">
        <v>0</v>
      </c>
      <c r="BN449" s="81">
        <f t="shared" si="2014"/>
        <v>0</v>
      </c>
      <c r="BO449" s="75">
        <f t="shared" si="2015"/>
        <v>0</v>
      </c>
      <c r="BP449" s="81">
        <f t="shared" si="2016"/>
        <v>0</v>
      </c>
      <c r="BQ449" s="81">
        <f t="shared" si="2017"/>
        <v>0</v>
      </c>
      <c r="BR449" s="81">
        <f t="shared" si="2018"/>
        <v>0</v>
      </c>
      <c r="BS449" s="81">
        <f t="shared" si="2019"/>
        <v>0</v>
      </c>
      <c r="BT449" s="81">
        <f t="shared" si="2020"/>
        <v>0</v>
      </c>
      <c r="BU449" s="81">
        <f t="shared" si="2021"/>
        <v>0</v>
      </c>
      <c r="BV449" s="81">
        <f t="shared" si="2022"/>
        <v>0</v>
      </c>
      <c r="BW449" s="81">
        <f t="shared" si="2023"/>
        <v>0</v>
      </c>
      <c r="BX449" s="1"/>
      <c r="BY449" s="1"/>
      <c r="BZ449" s="1"/>
      <c r="CA449" s="1"/>
      <c r="CB449" s="1"/>
      <c r="CC449" s="1"/>
      <c r="CD449" s="1"/>
      <c r="CE449" s="1"/>
      <c r="CF449" s="1"/>
      <c r="CG449" s="1"/>
    </row>
    <row r="450" spans="1:85" ht="15.75" customHeight="1">
      <c r="A450" s="325"/>
      <c r="B450" s="248"/>
      <c r="C450" s="249"/>
      <c r="D450" s="250" t="s">
        <v>797</v>
      </c>
      <c r="E450" s="104">
        <f t="shared" ref="E450:H450" si="2060">E451+E461+E471</f>
        <v>69432.98000000001</v>
      </c>
      <c r="F450" s="371">
        <f t="shared" si="2060"/>
        <v>7568.18</v>
      </c>
      <c r="G450" s="371">
        <f t="shared" si="2060"/>
        <v>61864.799999999996</v>
      </c>
      <c r="H450" s="251">
        <f t="shared" si="2060"/>
        <v>0</v>
      </c>
      <c r="I450" s="105">
        <f t="shared" si="1737"/>
        <v>2.9095705473872059E-2</v>
      </c>
      <c r="J450" s="105">
        <f t="shared" si="1738"/>
        <v>2.9095705473872059E-2</v>
      </c>
      <c r="K450" s="251">
        <f t="shared" ref="K450:W450" si="2061">K451+K461+K471</f>
        <v>1800</v>
      </c>
      <c r="L450" s="371">
        <f t="shared" si="2061"/>
        <v>0</v>
      </c>
      <c r="M450" s="372">
        <f t="shared" si="2061"/>
        <v>0</v>
      </c>
      <c r="N450" s="251">
        <f t="shared" si="2061"/>
        <v>0</v>
      </c>
      <c r="O450" s="371">
        <f t="shared" si="2061"/>
        <v>1800</v>
      </c>
      <c r="P450" s="371">
        <f t="shared" si="2061"/>
        <v>0</v>
      </c>
      <c r="Q450" s="371">
        <f t="shared" si="2061"/>
        <v>0</v>
      </c>
      <c r="R450" s="371">
        <f t="shared" si="2061"/>
        <v>1800</v>
      </c>
      <c r="S450" s="371">
        <f t="shared" si="2061"/>
        <v>0</v>
      </c>
      <c r="T450" s="371">
        <f t="shared" si="2061"/>
        <v>0</v>
      </c>
      <c r="U450" s="251">
        <f t="shared" si="2061"/>
        <v>0</v>
      </c>
      <c r="V450" s="251">
        <f t="shared" si="2061"/>
        <v>0</v>
      </c>
      <c r="W450" s="251">
        <f t="shared" si="2061"/>
        <v>0</v>
      </c>
      <c r="X450" s="373">
        <f t="shared" ref="X450:Y450" si="2062">IF(O450&gt;0,O450/K450,0)</f>
        <v>1</v>
      </c>
      <c r="Y450" s="373">
        <f t="shared" si="2062"/>
        <v>0</v>
      </c>
      <c r="Z450" s="373">
        <f t="shared" si="1518"/>
        <v>0</v>
      </c>
      <c r="AA450" s="371">
        <f t="shared" ref="AA450:BW450" si="2063">AA451+AA461+AA471</f>
        <v>0</v>
      </c>
      <c r="AB450" s="371">
        <f t="shared" si="2063"/>
        <v>0</v>
      </c>
      <c r="AC450" s="371">
        <f t="shared" si="2063"/>
        <v>0</v>
      </c>
      <c r="AD450" s="371">
        <f t="shared" si="2063"/>
        <v>0</v>
      </c>
      <c r="AE450" s="371">
        <f t="shared" si="2063"/>
        <v>0</v>
      </c>
      <c r="AF450" s="371">
        <f t="shared" si="2063"/>
        <v>0</v>
      </c>
      <c r="AG450" s="371">
        <f t="shared" si="2063"/>
        <v>0</v>
      </c>
      <c r="AH450" s="371">
        <f t="shared" si="2063"/>
        <v>0</v>
      </c>
      <c r="AI450" s="371">
        <f t="shared" si="2063"/>
        <v>0</v>
      </c>
      <c r="AJ450" s="371">
        <f t="shared" si="2063"/>
        <v>0</v>
      </c>
      <c r="AK450" s="371">
        <f t="shared" si="2063"/>
        <v>0</v>
      </c>
      <c r="AL450" s="371">
        <f t="shared" si="2063"/>
        <v>0</v>
      </c>
      <c r="AM450" s="371">
        <f t="shared" si="2063"/>
        <v>0</v>
      </c>
      <c r="AN450" s="371">
        <f t="shared" si="2063"/>
        <v>0</v>
      </c>
      <c r="AO450" s="371">
        <f t="shared" si="2063"/>
        <v>0</v>
      </c>
      <c r="AP450" s="371">
        <f t="shared" si="2063"/>
        <v>0</v>
      </c>
      <c r="AQ450" s="371">
        <f t="shared" si="2063"/>
        <v>0</v>
      </c>
      <c r="AR450" s="371">
        <f t="shared" si="2063"/>
        <v>0</v>
      </c>
      <c r="AS450" s="371">
        <f t="shared" si="2063"/>
        <v>0</v>
      </c>
      <c r="AT450" s="371">
        <f t="shared" si="2063"/>
        <v>0</v>
      </c>
      <c r="AU450" s="371">
        <f t="shared" si="2063"/>
        <v>0</v>
      </c>
      <c r="AV450" s="371">
        <f t="shared" si="2063"/>
        <v>0</v>
      </c>
      <c r="AW450" s="371">
        <f t="shared" si="2063"/>
        <v>0</v>
      </c>
      <c r="AX450" s="371">
        <f t="shared" si="2063"/>
        <v>0</v>
      </c>
      <c r="AY450" s="371">
        <f t="shared" si="2063"/>
        <v>0</v>
      </c>
      <c r="AZ450" s="371">
        <f t="shared" si="2063"/>
        <v>0</v>
      </c>
      <c r="BA450" s="371">
        <f t="shared" si="2063"/>
        <v>0</v>
      </c>
      <c r="BB450" s="371">
        <f t="shared" si="2063"/>
        <v>0</v>
      </c>
      <c r="BC450" s="371">
        <f t="shared" si="2063"/>
        <v>0</v>
      </c>
      <c r="BD450" s="371">
        <f t="shared" si="2063"/>
        <v>0</v>
      </c>
      <c r="BE450" s="371">
        <f t="shared" si="2063"/>
        <v>1800</v>
      </c>
      <c r="BF450" s="371">
        <f t="shared" si="2063"/>
        <v>0</v>
      </c>
      <c r="BG450" s="371">
        <f t="shared" si="2063"/>
        <v>0</v>
      </c>
      <c r="BH450" s="371">
        <f t="shared" si="2063"/>
        <v>0</v>
      </c>
      <c r="BI450" s="371">
        <f t="shared" si="2063"/>
        <v>0</v>
      </c>
      <c r="BJ450" s="371">
        <f t="shared" si="2063"/>
        <v>0</v>
      </c>
      <c r="BK450" s="371">
        <f t="shared" si="2063"/>
        <v>1800</v>
      </c>
      <c r="BL450" s="371">
        <f t="shared" si="2063"/>
        <v>0</v>
      </c>
      <c r="BM450" s="371">
        <f t="shared" si="2063"/>
        <v>0</v>
      </c>
      <c r="BN450" s="371">
        <f t="shared" si="2063"/>
        <v>0</v>
      </c>
      <c r="BO450" s="371">
        <f t="shared" si="2063"/>
        <v>0</v>
      </c>
      <c r="BP450" s="371">
        <f t="shared" si="2063"/>
        <v>0</v>
      </c>
      <c r="BQ450" s="371">
        <f t="shared" si="2063"/>
        <v>0</v>
      </c>
      <c r="BR450" s="371">
        <f t="shared" si="2063"/>
        <v>0</v>
      </c>
      <c r="BS450" s="371">
        <f t="shared" si="2063"/>
        <v>0</v>
      </c>
      <c r="BT450" s="371">
        <f t="shared" si="2063"/>
        <v>0</v>
      </c>
      <c r="BU450" s="371">
        <f t="shared" si="2063"/>
        <v>0</v>
      </c>
      <c r="BV450" s="371">
        <f t="shared" si="2063"/>
        <v>0</v>
      </c>
      <c r="BW450" s="371">
        <f t="shared" si="2063"/>
        <v>0</v>
      </c>
      <c r="BX450" s="1"/>
      <c r="BY450" s="1"/>
      <c r="BZ450" s="1"/>
      <c r="CA450" s="1"/>
      <c r="CB450" s="1"/>
      <c r="CC450" s="1"/>
      <c r="CD450" s="1"/>
      <c r="CE450" s="1"/>
      <c r="CF450" s="1"/>
      <c r="CG450" s="1"/>
    </row>
    <row r="451" spans="1:85" ht="15.75" customHeight="1">
      <c r="A451" s="326"/>
      <c r="B451" s="354"/>
      <c r="C451" s="328"/>
      <c r="D451" s="329" t="s">
        <v>798</v>
      </c>
      <c r="E451" s="330">
        <f t="shared" ref="E451:H451" si="2064">E452+E455+E457+E459</f>
        <v>23144.32</v>
      </c>
      <c r="F451" s="330">
        <f t="shared" si="2064"/>
        <v>2522.7199999999998</v>
      </c>
      <c r="G451" s="330">
        <f t="shared" si="2064"/>
        <v>20621.599999999999</v>
      </c>
      <c r="H451" s="330">
        <f t="shared" si="2064"/>
        <v>0</v>
      </c>
      <c r="I451" s="331">
        <f t="shared" si="1737"/>
        <v>0</v>
      </c>
      <c r="J451" s="331">
        <f t="shared" si="1738"/>
        <v>0</v>
      </c>
      <c r="K451" s="330">
        <f t="shared" ref="K451:W451" si="2065">K452+K455+K457+K459</f>
        <v>0</v>
      </c>
      <c r="L451" s="330">
        <f t="shared" si="2065"/>
        <v>0</v>
      </c>
      <c r="M451" s="330">
        <f t="shared" si="2065"/>
        <v>0</v>
      </c>
      <c r="N451" s="330">
        <f t="shared" si="2065"/>
        <v>0</v>
      </c>
      <c r="O451" s="330">
        <f t="shared" si="2065"/>
        <v>0</v>
      </c>
      <c r="P451" s="330">
        <f t="shared" si="2065"/>
        <v>0</v>
      </c>
      <c r="Q451" s="330">
        <f t="shared" si="2065"/>
        <v>0</v>
      </c>
      <c r="R451" s="330">
        <f t="shared" si="2065"/>
        <v>0</v>
      </c>
      <c r="S451" s="330">
        <f t="shared" si="2065"/>
        <v>0</v>
      </c>
      <c r="T451" s="330">
        <f t="shared" si="2065"/>
        <v>0</v>
      </c>
      <c r="U451" s="330">
        <f t="shared" si="2065"/>
        <v>0</v>
      </c>
      <c r="V451" s="330">
        <f t="shared" si="2065"/>
        <v>0</v>
      </c>
      <c r="W451" s="330">
        <f t="shared" si="2065"/>
        <v>0</v>
      </c>
      <c r="X451" s="374">
        <f t="shared" ref="X451:Y451" si="2066">IF(O451&gt;0,O451/K451,0)</f>
        <v>0</v>
      </c>
      <c r="Y451" s="374">
        <f t="shared" si="2066"/>
        <v>0</v>
      </c>
      <c r="Z451" s="374">
        <f t="shared" si="1518"/>
        <v>0</v>
      </c>
      <c r="AA451" s="330">
        <f t="shared" ref="AA451:BW451" si="2067">AA452+AA455+AA457+AA459</f>
        <v>0</v>
      </c>
      <c r="AB451" s="330">
        <f t="shared" si="2067"/>
        <v>0</v>
      </c>
      <c r="AC451" s="330">
        <f t="shared" si="2067"/>
        <v>0</v>
      </c>
      <c r="AD451" s="330">
        <f t="shared" si="2067"/>
        <v>0</v>
      </c>
      <c r="AE451" s="330">
        <f t="shared" si="2067"/>
        <v>0</v>
      </c>
      <c r="AF451" s="330">
        <f t="shared" si="2067"/>
        <v>0</v>
      </c>
      <c r="AG451" s="330">
        <f t="shared" si="2067"/>
        <v>0</v>
      </c>
      <c r="AH451" s="330">
        <f t="shared" si="2067"/>
        <v>0</v>
      </c>
      <c r="AI451" s="330">
        <f t="shared" si="2067"/>
        <v>0</v>
      </c>
      <c r="AJ451" s="330">
        <f t="shared" si="2067"/>
        <v>0</v>
      </c>
      <c r="AK451" s="330">
        <f t="shared" si="2067"/>
        <v>0</v>
      </c>
      <c r="AL451" s="330">
        <f t="shared" si="2067"/>
        <v>0</v>
      </c>
      <c r="AM451" s="330">
        <f t="shared" si="2067"/>
        <v>0</v>
      </c>
      <c r="AN451" s="330">
        <f t="shared" si="2067"/>
        <v>0</v>
      </c>
      <c r="AO451" s="330">
        <f t="shared" si="2067"/>
        <v>0</v>
      </c>
      <c r="AP451" s="330">
        <f t="shared" si="2067"/>
        <v>0</v>
      </c>
      <c r="AQ451" s="330">
        <f t="shared" si="2067"/>
        <v>0</v>
      </c>
      <c r="AR451" s="330">
        <f t="shared" si="2067"/>
        <v>0</v>
      </c>
      <c r="AS451" s="330">
        <f t="shared" si="2067"/>
        <v>0</v>
      </c>
      <c r="AT451" s="330">
        <f t="shared" si="2067"/>
        <v>0</v>
      </c>
      <c r="AU451" s="330">
        <f t="shared" si="2067"/>
        <v>0</v>
      </c>
      <c r="AV451" s="330">
        <f t="shared" si="2067"/>
        <v>0</v>
      </c>
      <c r="AW451" s="330">
        <f t="shared" si="2067"/>
        <v>0</v>
      </c>
      <c r="AX451" s="330">
        <f t="shared" si="2067"/>
        <v>0</v>
      </c>
      <c r="AY451" s="330">
        <f t="shared" si="2067"/>
        <v>0</v>
      </c>
      <c r="AZ451" s="330">
        <f t="shared" si="2067"/>
        <v>0</v>
      </c>
      <c r="BA451" s="330">
        <f t="shared" si="2067"/>
        <v>0</v>
      </c>
      <c r="BB451" s="330">
        <f t="shared" si="2067"/>
        <v>0</v>
      </c>
      <c r="BC451" s="330">
        <f t="shared" si="2067"/>
        <v>0</v>
      </c>
      <c r="BD451" s="330">
        <f t="shared" si="2067"/>
        <v>0</v>
      </c>
      <c r="BE451" s="330">
        <f t="shared" si="2067"/>
        <v>0</v>
      </c>
      <c r="BF451" s="330">
        <f t="shared" si="2067"/>
        <v>0</v>
      </c>
      <c r="BG451" s="330">
        <f t="shared" si="2067"/>
        <v>0</v>
      </c>
      <c r="BH451" s="330">
        <f t="shared" si="2067"/>
        <v>0</v>
      </c>
      <c r="BI451" s="330">
        <f t="shared" si="2067"/>
        <v>0</v>
      </c>
      <c r="BJ451" s="330">
        <f t="shared" si="2067"/>
        <v>0</v>
      </c>
      <c r="BK451" s="330">
        <f t="shared" si="2067"/>
        <v>0</v>
      </c>
      <c r="BL451" s="330">
        <f t="shared" si="2067"/>
        <v>0</v>
      </c>
      <c r="BM451" s="330">
        <f t="shared" si="2067"/>
        <v>0</v>
      </c>
      <c r="BN451" s="330">
        <f t="shared" si="2067"/>
        <v>0</v>
      </c>
      <c r="BO451" s="330">
        <f t="shared" si="2067"/>
        <v>0</v>
      </c>
      <c r="BP451" s="330">
        <f t="shared" si="2067"/>
        <v>0</v>
      </c>
      <c r="BQ451" s="330">
        <f t="shared" si="2067"/>
        <v>0</v>
      </c>
      <c r="BR451" s="330">
        <f t="shared" si="2067"/>
        <v>0</v>
      </c>
      <c r="BS451" s="330">
        <f t="shared" si="2067"/>
        <v>0</v>
      </c>
      <c r="BT451" s="330">
        <f t="shared" si="2067"/>
        <v>0</v>
      </c>
      <c r="BU451" s="330">
        <f t="shared" si="2067"/>
        <v>0</v>
      </c>
      <c r="BV451" s="330">
        <f t="shared" si="2067"/>
        <v>0</v>
      </c>
      <c r="BW451" s="330">
        <f t="shared" si="2067"/>
        <v>0</v>
      </c>
      <c r="BX451" s="1"/>
      <c r="BY451" s="1"/>
      <c r="BZ451" s="1"/>
      <c r="CA451" s="1"/>
      <c r="CB451" s="1"/>
      <c r="CC451" s="1"/>
      <c r="CD451" s="1"/>
      <c r="CE451" s="1"/>
      <c r="CF451" s="1"/>
      <c r="CG451" s="1"/>
    </row>
    <row r="452" spans="1:85" ht="15.75">
      <c r="A452" s="355"/>
      <c r="B452" s="356"/>
      <c r="C452" s="357"/>
      <c r="D452" s="57" t="s">
        <v>116</v>
      </c>
      <c r="E452" s="286">
        <f t="shared" ref="E452:H452" si="2068">SUM(E453:E454)</f>
        <v>8000</v>
      </c>
      <c r="F452" s="362">
        <f t="shared" si="2068"/>
        <v>0</v>
      </c>
      <c r="G452" s="362">
        <f t="shared" si="2068"/>
        <v>8000</v>
      </c>
      <c r="H452" s="362">
        <f t="shared" si="2068"/>
        <v>0</v>
      </c>
      <c r="I452" s="287">
        <f t="shared" si="1737"/>
        <v>0</v>
      </c>
      <c r="J452" s="287">
        <f t="shared" si="1738"/>
        <v>0</v>
      </c>
      <c r="K452" s="362">
        <f t="shared" ref="K452:W452" si="2069">SUM(K453:K454)</f>
        <v>0</v>
      </c>
      <c r="L452" s="362">
        <f t="shared" si="2069"/>
        <v>0</v>
      </c>
      <c r="M452" s="362">
        <f t="shared" si="2069"/>
        <v>0</v>
      </c>
      <c r="N452" s="362">
        <f t="shared" si="2069"/>
        <v>0</v>
      </c>
      <c r="O452" s="362">
        <f t="shared" si="2069"/>
        <v>0</v>
      </c>
      <c r="P452" s="362">
        <f t="shared" si="2069"/>
        <v>0</v>
      </c>
      <c r="Q452" s="362">
        <f t="shared" si="2069"/>
        <v>0</v>
      </c>
      <c r="R452" s="362">
        <f t="shared" si="2069"/>
        <v>0</v>
      </c>
      <c r="S452" s="362">
        <f t="shared" si="2069"/>
        <v>0</v>
      </c>
      <c r="T452" s="362">
        <f t="shared" si="2069"/>
        <v>0</v>
      </c>
      <c r="U452" s="362">
        <f t="shared" si="2069"/>
        <v>0</v>
      </c>
      <c r="V452" s="362">
        <f t="shared" si="2069"/>
        <v>0</v>
      </c>
      <c r="W452" s="362">
        <f t="shared" si="2069"/>
        <v>0</v>
      </c>
      <c r="X452" s="288">
        <f t="shared" ref="X452:Y452" si="2070">IF(O452&gt;0,O452/K452,0)</f>
        <v>0</v>
      </c>
      <c r="Y452" s="288">
        <f t="shared" si="2070"/>
        <v>0</v>
      </c>
      <c r="Z452" s="288">
        <f t="shared" si="1518"/>
        <v>0</v>
      </c>
      <c r="AA452" s="362">
        <f t="shared" ref="AA452:BW452" si="2071">SUM(AA453:AA454)</f>
        <v>0</v>
      </c>
      <c r="AB452" s="362">
        <f t="shared" si="2071"/>
        <v>0</v>
      </c>
      <c r="AC452" s="362">
        <f t="shared" si="2071"/>
        <v>0</v>
      </c>
      <c r="AD452" s="362">
        <f t="shared" si="2071"/>
        <v>0</v>
      </c>
      <c r="AE452" s="362">
        <f t="shared" si="2071"/>
        <v>0</v>
      </c>
      <c r="AF452" s="362">
        <f t="shared" si="2071"/>
        <v>0</v>
      </c>
      <c r="AG452" s="362">
        <f t="shared" si="2071"/>
        <v>0</v>
      </c>
      <c r="AH452" s="362">
        <f t="shared" si="2071"/>
        <v>0</v>
      </c>
      <c r="AI452" s="362">
        <f t="shared" si="2071"/>
        <v>0</v>
      </c>
      <c r="AJ452" s="362">
        <f t="shared" si="2071"/>
        <v>0</v>
      </c>
      <c r="AK452" s="362">
        <f t="shared" si="2071"/>
        <v>0</v>
      </c>
      <c r="AL452" s="362">
        <f t="shared" si="2071"/>
        <v>0</v>
      </c>
      <c r="AM452" s="362">
        <f t="shared" si="2071"/>
        <v>0</v>
      </c>
      <c r="AN452" s="362">
        <f t="shared" si="2071"/>
        <v>0</v>
      </c>
      <c r="AO452" s="362">
        <f t="shared" si="2071"/>
        <v>0</v>
      </c>
      <c r="AP452" s="362">
        <f t="shared" si="2071"/>
        <v>0</v>
      </c>
      <c r="AQ452" s="362">
        <f t="shared" si="2071"/>
        <v>0</v>
      </c>
      <c r="AR452" s="362">
        <f t="shared" si="2071"/>
        <v>0</v>
      </c>
      <c r="AS452" s="362">
        <f t="shared" si="2071"/>
        <v>0</v>
      </c>
      <c r="AT452" s="362">
        <f t="shared" si="2071"/>
        <v>0</v>
      </c>
      <c r="AU452" s="362">
        <f t="shared" si="2071"/>
        <v>0</v>
      </c>
      <c r="AV452" s="362">
        <f t="shared" si="2071"/>
        <v>0</v>
      </c>
      <c r="AW452" s="362">
        <f t="shared" si="2071"/>
        <v>0</v>
      </c>
      <c r="AX452" s="362">
        <f t="shared" si="2071"/>
        <v>0</v>
      </c>
      <c r="AY452" s="362">
        <f t="shared" si="2071"/>
        <v>0</v>
      </c>
      <c r="AZ452" s="362">
        <f t="shared" si="2071"/>
        <v>0</v>
      </c>
      <c r="BA452" s="362">
        <f t="shared" si="2071"/>
        <v>0</v>
      </c>
      <c r="BB452" s="362">
        <f t="shared" si="2071"/>
        <v>0</v>
      </c>
      <c r="BC452" s="362">
        <f t="shared" si="2071"/>
        <v>0</v>
      </c>
      <c r="BD452" s="362">
        <f t="shared" si="2071"/>
        <v>0</v>
      </c>
      <c r="BE452" s="362">
        <f t="shared" si="2071"/>
        <v>0</v>
      </c>
      <c r="BF452" s="362">
        <f t="shared" si="2071"/>
        <v>0</v>
      </c>
      <c r="BG452" s="362">
        <f t="shared" si="2071"/>
        <v>0</v>
      </c>
      <c r="BH452" s="362">
        <f t="shared" si="2071"/>
        <v>0</v>
      </c>
      <c r="BI452" s="362">
        <f t="shared" si="2071"/>
        <v>0</v>
      </c>
      <c r="BJ452" s="362">
        <f t="shared" si="2071"/>
        <v>0</v>
      </c>
      <c r="BK452" s="362">
        <f t="shared" si="2071"/>
        <v>0</v>
      </c>
      <c r="BL452" s="362">
        <f t="shared" si="2071"/>
        <v>0</v>
      </c>
      <c r="BM452" s="362">
        <f t="shared" si="2071"/>
        <v>0</v>
      </c>
      <c r="BN452" s="362">
        <f t="shared" si="2071"/>
        <v>0</v>
      </c>
      <c r="BO452" s="362">
        <f t="shared" si="2071"/>
        <v>0</v>
      </c>
      <c r="BP452" s="362">
        <f t="shared" si="2071"/>
        <v>0</v>
      </c>
      <c r="BQ452" s="362">
        <f t="shared" si="2071"/>
        <v>0</v>
      </c>
      <c r="BR452" s="362">
        <f t="shared" si="2071"/>
        <v>0</v>
      </c>
      <c r="BS452" s="362">
        <f t="shared" si="2071"/>
        <v>0</v>
      </c>
      <c r="BT452" s="362">
        <f t="shared" si="2071"/>
        <v>0</v>
      </c>
      <c r="BU452" s="362">
        <f t="shared" si="2071"/>
        <v>0</v>
      </c>
      <c r="BV452" s="362">
        <f t="shared" si="2071"/>
        <v>0</v>
      </c>
      <c r="BW452" s="362">
        <f t="shared" si="2071"/>
        <v>0</v>
      </c>
      <c r="BX452" s="1"/>
      <c r="BY452" s="1"/>
      <c r="BZ452" s="1"/>
      <c r="CA452" s="1"/>
      <c r="CB452" s="1"/>
      <c r="CC452" s="1"/>
      <c r="CD452" s="1"/>
      <c r="CE452" s="1"/>
      <c r="CF452" s="1"/>
      <c r="CG452" s="1"/>
    </row>
    <row r="453" spans="1:85" ht="15.75" customHeight="1">
      <c r="A453" s="84"/>
      <c r="B453" s="115"/>
      <c r="C453" s="86" t="s">
        <v>118</v>
      </c>
      <c r="D453" s="87" t="s">
        <v>119</v>
      </c>
      <c r="E453" s="70">
        <v>2000</v>
      </c>
      <c r="F453" s="93">
        <v>0</v>
      </c>
      <c r="G453" s="71">
        <f t="shared" ref="G453:G454" si="2072">E453-F453</f>
        <v>2000</v>
      </c>
      <c r="H453" s="70"/>
      <c r="I453" s="72">
        <f t="shared" si="1737"/>
        <v>0</v>
      </c>
      <c r="J453" s="72">
        <f t="shared" si="1738"/>
        <v>0</v>
      </c>
      <c r="K453" s="252"/>
      <c r="L453" s="74"/>
      <c r="M453" s="81"/>
      <c r="N453" s="107"/>
      <c r="O453" s="77">
        <f t="shared" ref="O453:Q453" si="2073">AA453+AD453+AG453+AJ453+AM453+AP453+AS453+AV453+AY453+BB453+BE453+BH453</f>
        <v>0</v>
      </c>
      <c r="P453" s="77">
        <f t="shared" si="2073"/>
        <v>0</v>
      </c>
      <c r="Q453" s="77">
        <f t="shared" si="2073"/>
        <v>0</v>
      </c>
      <c r="R453" s="77">
        <f t="shared" ref="R453:T453" si="2074">IF(BK453=0,SUM(AA453+AD453+AG453+AJ453+AM453+AP453+AS453+AV453+AY453+BB453+BE453+BH453),BK453)</f>
        <v>0</v>
      </c>
      <c r="S453" s="77">
        <f t="shared" si="2074"/>
        <v>0</v>
      </c>
      <c r="T453" s="77">
        <f t="shared" si="2074"/>
        <v>0</v>
      </c>
      <c r="U453" s="79">
        <f t="shared" ref="U453:U454" si="2075">K453-O453</f>
        <v>0</v>
      </c>
      <c r="V453" s="79">
        <f t="shared" ref="V453:V454" si="2076">L453-M453-S453</f>
        <v>0</v>
      </c>
      <c r="W453" s="79">
        <f t="shared" ref="W453:W454" si="2077">N453-Q453</f>
        <v>0</v>
      </c>
      <c r="X453" s="80">
        <f t="shared" ref="X453:Y453" si="2078">IF(O453&gt;0,O453/K453,0)</f>
        <v>0</v>
      </c>
      <c r="Y453" s="80">
        <f t="shared" si="2078"/>
        <v>0</v>
      </c>
      <c r="Z453" s="80">
        <f t="shared" si="1518"/>
        <v>0</v>
      </c>
      <c r="AA453" s="81"/>
      <c r="AB453" s="81"/>
      <c r="AC453" s="81"/>
      <c r="AD453" s="81"/>
      <c r="AE453" s="83"/>
      <c r="AF453" s="83"/>
      <c r="AG453" s="83"/>
      <c r="AH453" s="83"/>
      <c r="AI453" s="81"/>
      <c r="AJ453" s="81"/>
      <c r="AK453" s="81"/>
      <c r="AL453" s="81"/>
      <c r="AM453" s="81"/>
      <c r="AN453" s="81"/>
      <c r="AO453" s="81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1"/>
      <c r="BE453" s="81"/>
      <c r="BF453" s="81"/>
      <c r="BG453" s="81"/>
      <c r="BH453" s="81"/>
      <c r="BI453" s="81"/>
      <c r="BJ453" s="81"/>
      <c r="BK453" s="82">
        <v>0</v>
      </c>
      <c r="BL453" s="82">
        <v>0</v>
      </c>
      <c r="BM453" s="82">
        <v>0</v>
      </c>
      <c r="BN453" s="81">
        <f t="shared" ref="BN453:BN454" si="2079">IF(O453-BK453&gt;0,O453-BK453,0)</f>
        <v>0</v>
      </c>
      <c r="BO453" s="75">
        <f t="shared" ref="BO453:BO454" si="2080">IF(Q453-BM453&gt;0,Q453-BM453,0)</f>
        <v>0</v>
      </c>
      <c r="BP453" s="81">
        <f t="shared" ref="BP453:BP454" si="2081">IF(BN453+BO453&gt;0,BN453+BO453,0)</f>
        <v>0</v>
      </c>
      <c r="BQ453" s="81">
        <f t="shared" ref="BQ453:BQ454" si="2082">IF(U453=0,0,U453)</f>
        <v>0</v>
      </c>
      <c r="BR453" s="81">
        <f t="shared" ref="BR453:BR454" si="2083">IF(W453=0,0,W453)</f>
        <v>0</v>
      </c>
      <c r="BS453" s="81">
        <f t="shared" ref="BS453:BS454" si="2084">IF(BQ453+BR453&gt;0,BQ453+BR453,0)</f>
        <v>0</v>
      </c>
      <c r="BT453" s="81">
        <f t="shared" ref="BT453:BT454" si="2085">IF(V453&gt;0,V453,0)</f>
        <v>0</v>
      </c>
      <c r="BU453" s="81">
        <f t="shared" ref="BU453:BU454" si="2086">IF(BP453=0,0,BP453)</f>
        <v>0</v>
      </c>
      <c r="BV453" s="81">
        <f t="shared" ref="BV453:BV454" si="2087">IF(BS453=0,0,BS453)</f>
        <v>0</v>
      </c>
      <c r="BW453" s="81">
        <f t="shared" ref="BW453:BW454" si="2088">IF(BP453+BT453+BV453&gt;0,BP453+BT453+BV453,0)</f>
        <v>0</v>
      </c>
      <c r="BX453" s="1"/>
      <c r="BY453" s="1"/>
      <c r="BZ453" s="1"/>
      <c r="CA453" s="1"/>
      <c r="CB453" s="1"/>
      <c r="CC453" s="1"/>
      <c r="CD453" s="1"/>
      <c r="CE453" s="1"/>
      <c r="CF453" s="1"/>
      <c r="CG453" s="1"/>
    </row>
    <row r="454" spans="1:85" ht="15.75" customHeight="1">
      <c r="A454" s="84"/>
      <c r="B454" s="115"/>
      <c r="C454" s="86" t="s">
        <v>123</v>
      </c>
      <c r="D454" s="87" t="s">
        <v>124</v>
      </c>
      <c r="E454" s="70">
        <v>6000</v>
      </c>
      <c r="F454" s="71"/>
      <c r="G454" s="71">
        <f t="shared" si="2072"/>
        <v>6000</v>
      </c>
      <c r="H454" s="70"/>
      <c r="I454" s="72">
        <f t="shared" si="1737"/>
        <v>0</v>
      </c>
      <c r="J454" s="72">
        <f t="shared" si="1738"/>
        <v>0</v>
      </c>
      <c r="K454" s="88"/>
      <c r="L454" s="74"/>
      <c r="M454" s="81"/>
      <c r="N454" s="107"/>
      <c r="O454" s="77">
        <f t="shared" ref="O454:Q454" si="2089">AA454+AD454+AG454+AJ454+AM454+AP454+AS454+AV454+AY454+BB454+BE454+BH454</f>
        <v>0</v>
      </c>
      <c r="P454" s="77">
        <f t="shared" si="2089"/>
        <v>0</v>
      </c>
      <c r="Q454" s="77">
        <f t="shared" si="2089"/>
        <v>0</v>
      </c>
      <c r="R454" s="77">
        <f t="shared" ref="R454:T454" si="2090">IF(BK454=0,SUM(AA454+AD454+AG454+AJ454+AM454+AP454+AS454+AV454+AY454+BB454+BE454+BH454),BK454)</f>
        <v>0</v>
      </c>
      <c r="S454" s="77">
        <f t="shared" si="2090"/>
        <v>0</v>
      </c>
      <c r="T454" s="77">
        <f t="shared" si="2090"/>
        <v>0</v>
      </c>
      <c r="U454" s="79">
        <f t="shared" si="2075"/>
        <v>0</v>
      </c>
      <c r="V454" s="79">
        <f t="shared" si="2076"/>
        <v>0</v>
      </c>
      <c r="W454" s="79">
        <f t="shared" si="2077"/>
        <v>0</v>
      </c>
      <c r="X454" s="80">
        <f t="shared" ref="X454:Y454" si="2091">IF(O454&gt;0,O454/K454,0)</f>
        <v>0</v>
      </c>
      <c r="Y454" s="80">
        <f t="shared" si="2091"/>
        <v>0</v>
      </c>
      <c r="Z454" s="80">
        <f t="shared" si="1518"/>
        <v>0</v>
      </c>
      <c r="AA454" s="81"/>
      <c r="AB454" s="81"/>
      <c r="AC454" s="81"/>
      <c r="AD454" s="81"/>
      <c r="AE454" s="83"/>
      <c r="AF454" s="83"/>
      <c r="AG454" s="83"/>
      <c r="AH454" s="83"/>
      <c r="AI454" s="81"/>
      <c r="AJ454" s="81"/>
      <c r="AK454" s="81"/>
      <c r="AL454" s="81"/>
      <c r="AM454" s="81"/>
      <c r="AN454" s="81"/>
      <c r="AO454" s="81"/>
      <c r="AP454" s="81"/>
      <c r="AQ454" s="81"/>
      <c r="AR454" s="81"/>
      <c r="AS454" s="81"/>
      <c r="AT454" s="81"/>
      <c r="AU454" s="81"/>
      <c r="AV454" s="81"/>
      <c r="AW454" s="81"/>
      <c r="AX454" s="81"/>
      <c r="AY454" s="81"/>
      <c r="AZ454" s="81"/>
      <c r="BA454" s="81"/>
      <c r="BB454" s="81"/>
      <c r="BC454" s="81"/>
      <c r="BD454" s="81"/>
      <c r="BE454" s="81"/>
      <c r="BF454" s="81"/>
      <c r="BG454" s="81"/>
      <c r="BH454" s="81"/>
      <c r="BI454" s="81"/>
      <c r="BJ454" s="81"/>
      <c r="BK454" s="82">
        <v>0</v>
      </c>
      <c r="BL454" s="82">
        <v>0</v>
      </c>
      <c r="BM454" s="82">
        <v>0</v>
      </c>
      <c r="BN454" s="81">
        <f t="shared" si="2079"/>
        <v>0</v>
      </c>
      <c r="BO454" s="75">
        <f t="shared" si="2080"/>
        <v>0</v>
      </c>
      <c r="BP454" s="81">
        <f t="shared" si="2081"/>
        <v>0</v>
      </c>
      <c r="BQ454" s="81">
        <f t="shared" si="2082"/>
        <v>0</v>
      </c>
      <c r="BR454" s="81">
        <f t="shared" si="2083"/>
        <v>0</v>
      </c>
      <c r="BS454" s="81">
        <f t="shared" si="2084"/>
        <v>0</v>
      </c>
      <c r="BT454" s="81">
        <f t="shared" si="2085"/>
        <v>0</v>
      </c>
      <c r="BU454" s="81">
        <f t="shared" si="2086"/>
        <v>0</v>
      </c>
      <c r="BV454" s="81">
        <f t="shared" si="2087"/>
        <v>0</v>
      </c>
      <c r="BW454" s="81">
        <f t="shared" si="2088"/>
        <v>0</v>
      </c>
      <c r="BX454" s="1"/>
      <c r="BY454" s="1"/>
      <c r="BZ454" s="1"/>
      <c r="CA454" s="1"/>
      <c r="CB454" s="1"/>
      <c r="CC454" s="1"/>
      <c r="CD454" s="1"/>
      <c r="CE454" s="1"/>
      <c r="CF454" s="1"/>
      <c r="CG454" s="1"/>
    </row>
    <row r="455" spans="1:85" ht="15.75">
      <c r="A455" s="270"/>
      <c r="B455" s="271"/>
      <c r="C455" s="272"/>
      <c r="D455" s="112" t="s">
        <v>128</v>
      </c>
      <c r="E455" s="286">
        <f t="shared" ref="E455:H455" si="2092">SUM(E456)</f>
        <v>3000</v>
      </c>
      <c r="F455" s="362">
        <f t="shared" si="2092"/>
        <v>0</v>
      </c>
      <c r="G455" s="362">
        <f t="shared" si="2092"/>
        <v>3000</v>
      </c>
      <c r="H455" s="362">
        <f t="shared" si="2092"/>
        <v>0</v>
      </c>
      <c r="I455" s="287">
        <f t="shared" si="1737"/>
        <v>0</v>
      </c>
      <c r="J455" s="287">
        <f t="shared" si="1738"/>
        <v>0</v>
      </c>
      <c r="K455" s="362">
        <f t="shared" ref="K455:W455" si="2093">SUM(K456)</f>
        <v>0</v>
      </c>
      <c r="L455" s="362">
        <f t="shared" si="2093"/>
        <v>0</v>
      </c>
      <c r="M455" s="362">
        <f t="shared" si="2093"/>
        <v>0</v>
      </c>
      <c r="N455" s="362">
        <f t="shared" si="2093"/>
        <v>0</v>
      </c>
      <c r="O455" s="362">
        <f t="shared" si="2093"/>
        <v>0</v>
      </c>
      <c r="P455" s="362">
        <f t="shared" si="2093"/>
        <v>0</v>
      </c>
      <c r="Q455" s="362">
        <f t="shared" si="2093"/>
        <v>0</v>
      </c>
      <c r="R455" s="362">
        <f t="shared" si="2093"/>
        <v>0</v>
      </c>
      <c r="S455" s="362">
        <f t="shared" si="2093"/>
        <v>0</v>
      </c>
      <c r="T455" s="362">
        <f t="shared" si="2093"/>
        <v>0</v>
      </c>
      <c r="U455" s="362">
        <f t="shared" si="2093"/>
        <v>0</v>
      </c>
      <c r="V455" s="362">
        <f t="shared" si="2093"/>
        <v>0</v>
      </c>
      <c r="W455" s="362">
        <f t="shared" si="2093"/>
        <v>0</v>
      </c>
      <c r="X455" s="288">
        <f t="shared" ref="X455:Y455" si="2094">IF(O455&gt;0,O455/K455,0)</f>
        <v>0</v>
      </c>
      <c r="Y455" s="288">
        <f t="shared" si="2094"/>
        <v>0</v>
      </c>
      <c r="Z455" s="288">
        <f t="shared" si="1518"/>
        <v>0</v>
      </c>
      <c r="AA455" s="362">
        <f t="shared" ref="AA455:BW455" si="2095">SUM(AA456)</f>
        <v>0</v>
      </c>
      <c r="AB455" s="362">
        <f t="shared" si="2095"/>
        <v>0</v>
      </c>
      <c r="AC455" s="362">
        <f t="shared" si="2095"/>
        <v>0</v>
      </c>
      <c r="AD455" s="362">
        <f t="shared" si="2095"/>
        <v>0</v>
      </c>
      <c r="AE455" s="362">
        <f t="shared" si="2095"/>
        <v>0</v>
      </c>
      <c r="AF455" s="362">
        <f t="shared" si="2095"/>
        <v>0</v>
      </c>
      <c r="AG455" s="362">
        <f t="shared" si="2095"/>
        <v>0</v>
      </c>
      <c r="AH455" s="362">
        <f t="shared" si="2095"/>
        <v>0</v>
      </c>
      <c r="AI455" s="362">
        <f t="shared" si="2095"/>
        <v>0</v>
      </c>
      <c r="AJ455" s="362">
        <f t="shared" si="2095"/>
        <v>0</v>
      </c>
      <c r="AK455" s="362">
        <f t="shared" si="2095"/>
        <v>0</v>
      </c>
      <c r="AL455" s="362">
        <f t="shared" si="2095"/>
        <v>0</v>
      </c>
      <c r="AM455" s="362">
        <f t="shared" si="2095"/>
        <v>0</v>
      </c>
      <c r="AN455" s="362">
        <f t="shared" si="2095"/>
        <v>0</v>
      </c>
      <c r="AO455" s="362">
        <f t="shared" si="2095"/>
        <v>0</v>
      </c>
      <c r="AP455" s="362">
        <f t="shared" si="2095"/>
        <v>0</v>
      </c>
      <c r="AQ455" s="362">
        <f t="shared" si="2095"/>
        <v>0</v>
      </c>
      <c r="AR455" s="362">
        <f t="shared" si="2095"/>
        <v>0</v>
      </c>
      <c r="AS455" s="362">
        <f t="shared" si="2095"/>
        <v>0</v>
      </c>
      <c r="AT455" s="362">
        <f t="shared" si="2095"/>
        <v>0</v>
      </c>
      <c r="AU455" s="362">
        <f t="shared" si="2095"/>
        <v>0</v>
      </c>
      <c r="AV455" s="362">
        <f t="shared" si="2095"/>
        <v>0</v>
      </c>
      <c r="AW455" s="362">
        <f t="shared" si="2095"/>
        <v>0</v>
      </c>
      <c r="AX455" s="362">
        <f t="shared" si="2095"/>
        <v>0</v>
      </c>
      <c r="AY455" s="362">
        <f t="shared" si="2095"/>
        <v>0</v>
      </c>
      <c r="AZ455" s="362">
        <f t="shared" si="2095"/>
        <v>0</v>
      </c>
      <c r="BA455" s="362">
        <f t="shared" si="2095"/>
        <v>0</v>
      </c>
      <c r="BB455" s="362">
        <f t="shared" si="2095"/>
        <v>0</v>
      </c>
      <c r="BC455" s="362">
        <f t="shared" si="2095"/>
        <v>0</v>
      </c>
      <c r="BD455" s="362">
        <f t="shared" si="2095"/>
        <v>0</v>
      </c>
      <c r="BE455" s="362">
        <f t="shared" si="2095"/>
        <v>0</v>
      </c>
      <c r="BF455" s="362">
        <f t="shared" si="2095"/>
        <v>0</v>
      </c>
      <c r="BG455" s="362">
        <f t="shared" si="2095"/>
        <v>0</v>
      </c>
      <c r="BH455" s="362">
        <f t="shared" si="2095"/>
        <v>0</v>
      </c>
      <c r="BI455" s="362">
        <f t="shared" si="2095"/>
        <v>0</v>
      </c>
      <c r="BJ455" s="362">
        <f t="shared" si="2095"/>
        <v>0</v>
      </c>
      <c r="BK455" s="362">
        <f t="shared" si="2095"/>
        <v>0</v>
      </c>
      <c r="BL455" s="362">
        <f t="shared" si="2095"/>
        <v>0</v>
      </c>
      <c r="BM455" s="362">
        <f t="shared" si="2095"/>
        <v>0</v>
      </c>
      <c r="BN455" s="362">
        <f t="shared" si="2095"/>
        <v>0</v>
      </c>
      <c r="BO455" s="362">
        <f t="shared" si="2095"/>
        <v>0</v>
      </c>
      <c r="BP455" s="362">
        <f t="shared" si="2095"/>
        <v>0</v>
      </c>
      <c r="BQ455" s="362">
        <f t="shared" si="2095"/>
        <v>0</v>
      </c>
      <c r="BR455" s="362">
        <f t="shared" si="2095"/>
        <v>0</v>
      </c>
      <c r="BS455" s="362">
        <f t="shared" si="2095"/>
        <v>0</v>
      </c>
      <c r="BT455" s="362">
        <f t="shared" si="2095"/>
        <v>0</v>
      </c>
      <c r="BU455" s="362">
        <f t="shared" si="2095"/>
        <v>0</v>
      </c>
      <c r="BV455" s="362">
        <f t="shared" si="2095"/>
        <v>0</v>
      </c>
      <c r="BW455" s="362">
        <f t="shared" si="2095"/>
        <v>0</v>
      </c>
      <c r="BX455" s="1"/>
      <c r="BY455" s="1"/>
      <c r="BZ455" s="1"/>
      <c r="CA455" s="1"/>
      <c r="CB455" s="1"/>
      <c r="CC455" s="1"/>
      <c r="CD455" s="1"/>
      <c r="CE455" s="1"/>
      <c r="CF455" s="1"/>
      <c r="CG455" s="1"/>
    </row>
    <row r="456" spans="1:85" ht="15.75" customHeight="1">
      <c r="A456" s="84"/>
      <c r="B456" s="115"/>
      <c r="C456" s="86" t="s">
        <v>135</v>
      </c>
      <c r="D456" s="87" t="s">
        <v>136</v>
      </c>
      <c r="E456" s="70">
        <v>3000</v>
      </c>
      <c r="F456" s="71"/>
      <c r="G456" s="71">
        <f>E456-F456</f>
        <v>3000</v>
      </c>
      <c r="H456" s="70"/>
      <c r="I456" s="72">
        <f t="shared" si="1737"/>
        <v>0</v>
      </c>
      <c r="J456" s="72">
        <f t="shared" si="1738"/>
        <v>0</v>
      </c>
      <c r="K456" s="88"/>
      <c r="L456" s="74"/>
      <c r="M456" s="81"/>
      <c r="N456" s="107"/>
      <c r="O456" s="77">
        <f t="shared" ref="O456:Q456" si="2096">AA456+AD456+AG456+AJ456+AM456+AP456+AS456+AV456+AY456+BB456+BE456+BH456</f>
        <v>0</v>
      </c>
      <c r="P456" s="77">
        <f t="shared" si="2096"/>
        <v>0</v>
      </c>
      <c r="Q456" s="77">
        <f t="shared" si="2096"/>
        <v>0</v>
      </c>
      <c r="R456" s="77">
        <f t="shared" ref="R456:T456" si="2097">IF(BK456=0,SUM(AA456+AD456+AG456+AJ456+AM456+AP456+AS456+AV456+AY456+BB456+BE456+BH456),BK456)</f>
        <v>0</v>
      </c>
      <c r="S456" s="77">
        <f t="shared" si="2097"/>
        <v>0</v>
      </c>
      <c r="T456" s="77">
        <f t="shared" si="2097"/>
        <v>0</v>
      </c>
      <c r="U456" s="79">
        <f>K456-O456</f>
        <v>0</v>
      </c>
      <c r="V456" s="79">
        <f>L456-M456-S456</f>
        <v>0</v>
      </c>
      <c r="W456" s="79">
        <f>N456-Q456</f>
        <v>0</v>
      </c>
      <c r="X456" s="80">
        <f t="shared" ref="X456:Y456" si="2098">IF(O456&gt;0,O456/K456,0)</f>
        <v>0</v>
      </c>
      <c r="Y456" s="80">
        <f t="shared" si="2098"/>
        <v>0</v>
      </c>
      <c r="Z456" s="80">
        <f t="shared" si="1518"/>
        <v>0</v>
      </c>
      <c r="AA456" s="81"/>
      <c r="AB456" s="81"/>
      <c r="AC456" s="81"/>
      <c r="AD456" s="81"/>
      <c r="AE456" s="83"/>
      <c r="AF456" s="83"/>
      <c r="AG456" s="83"/>
      <c r="AH456" s="83"/>
      <c r="AI456" s="81"/>
      <c r="AJ456" s="81"/>
      <c r="AK456" s="81"/>
      <c r="AL456" s="81"/>
      <c r="AM456" s="81"/>
      <c r="AN456" s="81"/>
      <c r="AO456" s="81"/>
      <c r="AP456" s="81"/>
      <c r="AQ456" s="81"/>
      <c r="AR456" s="81"/>
      <c r="AS456" s="81"/>
      <c r="AT456" s="81"/>
      <c r="AU456" s="81"/>
      <c r="AV456" s="81"/>
      <c r="AW456" s="81"/>
      <c r="AX456" s="81"/>
      <c r="AY456" s="81"/>
      <c r="AZ456" s="81"/>
      <c r="BA456" s="81"/>
      <c r="BB456" s="81"/>
      <c r="BC456" s="81"/>
      <c r="BD456" s="81"/>
      <c r="BE456" s="81"/>
      <c r="BF456" s="81"/>
      <c r="BG456" s="81"/>
      <c r="BH456" s="81"/>
      <c r="BI456" s="81"/>
      <c r="BJ456" s="81"/>
      <c r="BK456" s="82">
        <v>0</v>
      </c>
      <c r="BL456" s="82">
        <v>0</v>
      </c>
      <c r="BM456" s="82">
        <v>0</v>
      </c>
      <c r="BN456" s="81">
        <f>IF(O456-BK456&gt;0,O456-BK456,0)</f>
        <v>0</v>
      </c>
      <c r="BO456" s="75">
        <f>IF(Q456-BM456&gt;0,Q456-BM456,0)</f>
        <v>0</v>
      </c>
      <c r="BP456" s="81">
        <f>IF(BN456+BO456&gt;0,BN456+BO456,0)</f>
        <v>0</v>
      </c>
      <c r="BQ456" s="81">
        <f>IF(U456=0,0,U456)</f>
        <v>0</v>
      </c>
      <c r="BR456" s="81">
        <f>IF(W456=0,0,W456)</f>
        <v>0</v>
      </c>
      <c r="BS456" s="81">
        <f>IF(BQ456+BR456&gt;0,BQ456+BR456,0)</f>
        <v>0</v>
      </c>
      <c r="BT456" s="81">
        <f>IF(V456&gt;0,V456,0)</f>
        <v>0</v>
      </c>
      <c r="BU456" s="81">
        <f>IF(BP456=0,0,BP456)</f>
        <v>0</v>
      </c>
      <c r="BV456" s="81">
        <f>IF(BS456=0,0,BS456)</f>
        <v>0</v>
      </c>
      <c r="BW456" s="81">
        <f>IF(BP456+BT456+BV456&gt;0,BP456+BT456+BV456,0)</f>
        <v>0</v>
      </c>
      <c r="BX456" s="1"/>
      <c r="BY456" s="1"/>
      <c r="BZ456" s="1"/>
      <c r="CA456" s="1"/>
      <c r="CB456" s="1"/>
      <c r="CC456" s="1"/>
      <c r="CD456" s="1"/>
      <c r="CE456" s="1"/>
      <c r="CF456" s="1"/>
      <c r="CG456" s="1"/>
    </row>
    <row r="457" spans="1:85" ht="15.75" customHeight="1">
      <c r="A457" s="270"/>
      <c r="B457" s="271"/>
      <c r="C457" s="272"/>
      <c r="D457" s="112" t="s">
        <v>452</v>
      </c>
      <c r="E457" s="58">
        <f t="shared" ref="E457:H457" si="2099">E458</f>
        <v>10000</v>
      </c>
      <c r="F457" s="59">
        <f t="shared" si="2099"/>
        <v>2522.7199999999998</v>
      </c>
      <c r="G457" s="59">
        <f t="shared" si="2099"/>
        <v>7477.2800000000007</v>
      </c>
      <c r="H457" s="59">
        <f t="shared" si="2099"/>
        <v>0</v>
      </c>
      <c r="I457" s="60">
        <f t="shared" si="1737"/>
        <v>0</v>
      </c>
      <c r="J457" s="60">
        <f t="shared" si="1738"/>
        <v>0</v>
      </c>
      <c r="K457" s="59">
        <f t="shared" ref="K457:W457" si="2100">K458</f>
        <v>0</v>
      </c>
      <c r="L457" s="59">
        <f t="shared" si="2100"/>
        <v>0</v>
      </c>
      <c r="M457" s="59">
        <f t="shared" si="2100"/>
        <v>0</v>
      </c>
      <c r="N457" s="59">
        <f t="shared" si="2100"/>
        <v>0</v>
      </c>
      <c r="O457" s="59">
        <f t="shared" si="2100"/>
        <v>0</v>
      </c>
      <c r="P457" s="59">
        <f t="shared" si="2100"/>
        <v>0</v>
      </c>
      <c r="Q457" s="59">
        <f t="shared" si="2100"/>
        <v>0</v>
      </c>
      <c r="R457" s="59">
        <f t="shared" si="2100"/>
        <v>0</v>
      </c>
      <c r="S457" s="59">
        <f t="shared" si="2100"/>
        <v>0</v>
      </c>
      <c r="T457" s="59">
        <f t="shared" si="2100"/>
        <v>0</v>
      </c>
      <c r="U457" s="59">
        <f t="shared" si="2100"/>
        <v>0</v>
      </c>
      <c r="V457" s="59">
        <f t="shared" si="2100"/>
        <v>0</v>
      </c>
      <c r="W457" s="59">
        <f t="shared" si="2100"/>
        <v>0</v>
      </c>
      <c r="X457" s="63">
        <f t="shared" ref="X457:Y457" si="2101">IF(O457&gt;0,O457/K457,0)</f>
        <v>0</v>
      </c>
      <c r="Y457" s="63">
        <f t="shared" si="2101"/>
        <v>0</v>
      </c>
      <c r="Z457" s="63">
        <f t="shared" si="1518"/>
        <v>0</v>
      </c>
      <c r="AA457" s="59">
        <f t="shared" ref="AA457:BW457" si="2102">AA458</f>
        <v>0</v>
      </c>
      <c r="AB457" s="59">
        <f t="shared" si="2102"/>
        <v>0</v>
      </c>
      <c r="AC457" s="59">
        <f t="shared" si="2102"/>
        <v>0</v>
      </c>
      <c r="AD457" s="59">
        <f t="shared" si="2102"/>
        <v>0</v>
      </c>
      <c r="AE457" s="59">
        <f t="shared" si="2102"/>
        <v>0</v>
      </c>
      <c r="AF457" s="59">
        <f t="shared" si="2102"/>
        <v>0</v>
      </c>
      <c r="AG457" s="59">
        <f t="shared" si="2102"/>
        <v>0</v>
      </c>
      <c r="AH457" s="59">
        <f t="shared" si="2102"/>
        <v>0</v>
      </c>
      <c r="AI457" s="59">
        <f t="shared" si="2102"/>
        <v>0</v>
      </c>
      <c r="AJ457" s="59">
        <f t="shared" si="2102"/>
        <v>0</v>
      </c>
      <c r="AK457" s="59">
        <f t="shared" si="2102"/>
        <v>0</v>
      </c>
      <c r="AL457" s="59">
        <f t="shared" si="2102"/>
        <v>0</v>
      </c>
      <c r="AM457" s="59">
        <f t="shared" si="2102"/>
        <v>0</v>
      </c>
      <c r="AN457" s="59">
        <f t="shared" si="2102"/>
        <v>0</v>
      </c>
      <c r="AO457" s="59">
        <f t="shared" si="2102"/>
        <v>0</v>
      </c>
      <c r="AP457" s="59">
        <f t="shared" si="2102"/>
        <v>0</v>
      </c>
      <c r="AQ457" s="59">
        <f t="shared" si="2102"/>
        <v>0</v>
      </c>
      <c r="AR457" s="59">
        <f t="shared" si="2102"/>
        <v>0</v>
      </c>
      <c r="AS457" s="59">
        <f t="shared" si="2102"/>
        <v>0</v>
      </c>
      <c r="AT457" s="59">
        <f t="shared" si="2102"/>
        <v>0</v>
      </c>
      <c r="AU457" s="59">
        <f t="shared" si="2102"/>
        <v>0</v>
      </c>
      <c r="AV457" s="59">
        <f t="shared" si="2102"/>
        <v>0</v>
      </c>
      <c r="AW457" s="59">
        <f t="shared" si="2102"/>
        <v>0</v>
      </c>
      <c r="AX457" s="59">
        <f t="shared" si="2102"/>
        <v>0</v>
      </c>
      <c r="AY457" s="59">
        <f t="shared" si="2102"/>
        <v>0</v>
      </c>
      <c r="AZ457" s="59">
        <f t="shared" si="2102"/>
        <v>0</v>
      </c>
      <c r="BA457" s="59">
        <f t="shared" si="2102"/>
        <v>0</v>
      </c>
      <c r="BB457" s="59">
        <f t="shared" si="2102"/>
        <v>0</v>
      </c>
      <c r="BC457" s="59">
        <f t="shared" si="2102"/>
        <v>0</v>
      </c>
      <c r="BD457" s="59">
        <f t="shared" si="2102"/>
        <v>0</v>
      </c>
      <c r="BE457" s="59">
        <f t="shared" si="2102"/>
        <v>0</v>
      </c>
      <c r="BF457" s="59">
        <f t="shared" si="2102"/>
        <v>0</v>
      </c>
      <c r="BG457" s="59">
        <f t="shared" si="2102"/>
        <v>0</v>
      </c>
      <c r="BH457" s="59">
        <f t="shared" si="2102"/>
        <v>0</v>
      </c>
      <c r="BI457" s="59">
        <f t="shared" si="2102"/>
        <v>0</v>
      </c>
      <c r="BJ457" s="59">
        <f t="shared" si="2102"/>
        <v>0</v>
      </c>
      <c r="BK457" s="59">
        <f t="shared" si="2102"/>
        <v>0</v>
      </c>
      <c r="BL457" s="59">
        <f t="shared" si="2102"/>
        <v>0</v>
      </c>
      <c r="BM457" s="59">
        <f t="shared" si="2102"/>
        <v>0</v>
      </c>
      <c r="BN457" s="59">
        <f t="shared" si="2102"/>
        <v>0</v>
      </c>
      <c r="BO457" s="59">
        <f t="shared" si="2102"/>
        <v>0</v>
      </c>
      <c r="BP457" s="59">
        <f t="shared" si="2102"/>
        <v>0</v>
      </c>
      <c r="BQ457" s="59">
        <f t="shared" si="2102"/>
        <v>0</v>
      </c>
      <c r="BR457" s="59">
        <f t="shared" si="2102"/>
        <v>0</v>
      </c>
      <c r="BS457" s="59">
        <f t="shared" si="2102"/>
        <v>0</v>
      </c>
      <c r="BT457" s="59">
        <f t="shared" si="2102"/>
        <v>0</v>
      </c>
      <c r="BU457" s="59">
        <f t="shared" si="2102"/>
        <v>0</v>
      </c>
      <c r="BV457" s="59">
        <f t="shared" si="2102"/>
        <v>0</v>
      </c>
      <c r="BW457" s="59">
        <f t="shared" si="2102"/>
        <v>0</v>
      </c>
      <c r="BX457" s="1"/>
      <c r="BY457" s="1"/>
      <c r="BZ457" s="1"/>
      <c r="CA457" s="1"/>
      <c r="CB457" s="1"/>
      <c r="CC457" s="1"/>
      <c r="CD457" s="1"/>
      <c r="CE457" s="1"/>
      <c r="CF457" s="1"/>
      <c r="CG457" s="1"/>
    </row>
    <row r="458" spans="1:85" ht="15.75" customHeight="1">
      <c r="A458" s="84"/>
      <c r="B458" s="115"/>
      <c r="C458" s="86" t="s">
        <v>453</v>
      </c>
      <c r="D458" s="149" t="s">
        <v>454</v>
      </c>
      <c r="E458" s="70">
        <v>10000</v>
      </c>
      <c r="F458" s="131">
        <v>2522.7199999999998</v>
      </c>
      <c r="G458" s="71">
        <f>E458-F458</f>
        <v>7477.2800000000007</v>
      </c>
      <c r="H458" s="70"/>
      <c r="I458" s="72">
        <f t="shared" si="1737"/>
        <v>0</v>
      </c>
      <c r="J458" s="72">
        <f t="shared" si="1738"/>
        <v>0</v>
      </c>
      <c r="K458" s="88"/>
      <c r="L458" s="74"/>
      <c r="M458" s="81"/>
      <c r="N458" s="107"/>
      <c r="O458" s="77">
        <f t="shared" ref="O458:Q458" si="2103">AA458+AD458+AG458+AJ458+AM458+AP458+AS458+AV458+AY458+BB458+BE458+BH458</f>
        <v>0</v>
      </c>
      <c r="P458" s="77">
        <f t="shared" si="2103"/>
        <v>0</v>
      </c>
      <c r="Q458" s="77">
        <f t="shared" si="2103"/>
        <v>0</v>
      </c>
      <c r="R458" s="77">
        <f t="shared" ref="R458:T458" si="2104">IF(BK458=0,SUM(AA458+AD458+AG458+AJ458+AM458+AP458+AS458+AV458+AY458+BB458+BE458+BH458),BK458)</f>
        <v>0</v>
      </c>
      <c r="S458" s="77">
        <f t="shared" si="2104"/>
        <v>0</v>
      </c>
      <c r="T458" s="77">
        <f t="shared" si="2104"/>
        <v>0</v>
      </c>
      <c r="U458" s="79">
        <f>K458-O458</f>
        <v>0</v>
      </c>
      <c r="V458" s="79">
        <f>L458-M458-S458</f>
        <v>0</v>
      </c>
      <c r="W458" s="79">
        <f>N458-Q458</f>
        <v>0</v>
      </c>
      <c r="X458" s="80">
        <f t="shared" ref="X458:Y458" si="2105">IF(O458&gt;0,O458/K458,0)</f>
        <v>0</v>
      </c>
      <c r="Y458" s="80">
        <f t="shared" si="2105"/>
        <v>0</v>
      </c>
      <c r="Z458" s="80">
        <f t="shared" si="1518"/>
        <v>0</v>
      </c>
      <c r="AA458" s="81"/>
      <c r="AB458" s="81"/>
      <c r="AC458" s="81"/>
      <c r="AD458" s="81"/>
      <c r="AE458" s="83"/>
      <c r="AF458" s="83"/>
      <c r="AG458" s="83"/>
      <c r="AH458" s="83"/>
      <c r="AI458" s="81"/>
      <c r="AJ458" s="81"/>
      <c r="AK458" s="81"/>
      <c r="AL458" s="81"/>
      <c r="AM458" s="81"/>
      <c r="AN458" s="81"/>
      <c r="AO458" s="81"/>
      <c r="AP458" s="81"/>
      <c r="AQ458" s="81"/>
      <c r="AR458" s="81"/>
      <c r="AS458" s="81"/>
      <c r="AT458" s="81"/>
      <c r="AU458" s="81"/>
      <c r="AV458" s="81"/>
      <c r="AW458" s="81"/>
      <c r="AX458" s="81"/>
      <c r="AY458" s="81"/>
      <c r="AZ458" s="81"/>
      <c r="BA458" s="81"/>
      <c r="BB458" s="81"/>
      <c r="BC458" s="81"/>
      <c r="BD458" s="81"/>
      <c r="BE458" s="81"/>
      <c r="BF458" s="81"/>
      <c r="BG458" s="81"/>
      <c r="BH458" s="81"/>
      <c r="BI458" s="81"/>
      <c r="BJ458" s="81"/>
      <c r="BK458" s="82">
        <v>0</v>
      </c>
      <c r="BL458" s="82">
        <v>0</v>
      </c>
      <c r="BM458" s="82">
        <v>0</v>
      </c>
      <c r="BN458" s="81">
        <f>IF(O458-BK458&gt;0,O458-BK458,0)</f>
        <v>0</v>
      </c>
      <c r="BO458" s="75">
        <f>IF(Q458-BM458&gt;0,Q458-BM458,0)</f>
        <v>0</v>
      </c>
      <c r="BP458" s="81">
        <f>IF(BN458+BO458&gt;0,BN458+BO458,0)</f>
        <v>0</v>
      </c>
      <c r="BQ458" s="81">
        <f>IF(U458=0,0,U458)</f>
        <v>0</v>
      </c>
      <c r="BR458" s="81">
        <f>IF(W458=0,0,W458)</f>
        <v>0</v>
      </c>
      <c r="BS458" s="81">
        <f>IF(BQ458+BR458&gt;0,BQ458+BR458,0)</f>
        <v>0</v>
      </c>
      <c r="BT458" s="81">
        <f>IF(V458&gt;0,V458,0)</f>
        <v>0</v>
      </c>
      <c r="BU458" s="81">
        <f>IF(BP458=0,0,BP458)</f>
        <v>0</v>
      </c>
      <c r="BV458" s="81">
        <f>IF(BS458=0,0,BS458)</f>
        <v>0</v>
      </c>
      <c r="BW458" s="81">
        <f>IF(BP458+BT458+BV458&gt;0,BP458+BT458+BV458,0)</f>
        <v>0</v>
      </c>
      <c r="BX458" s="1"/>
      <c r="BY458" s="1"/>
      <c r="BZ458" s="1"/>
      <c r="CA458" s="1"/>
      <c r="CB458" s="1"/>
      <c r="CC458" s="1"/>
      <c r="CD458" s="1"/>
      <c r="CE458" s="1"/>
      <c r="CF458" s="1"/>
      <c r="CG458" s="1"/>
    </row>
    <row r="459" spans="1:85" ht="15.75" customHeight="1">
      <c r="A459" s="270"/>
      <c r="B459" s="271"/>
      <c r="C459" s="272"/>
      <c r="D459" s="112" t="s">
        <v>344</v>
      </c>
      <c r="E459" s="58">
        <f t="shared" ref="E459:H459" si="2106">E460</f>
        <v>2144.3200000000002</v>
      </c>
      <c r="F459" s="59">
        <f t="shared" si="2106"/>
        <v>0</v>
      </c>
      <c r="G459" s="59">
        <f t="shared" si="2106"/>
        <v>2144.3200000000002</v>
      </c>
      <c r="H459" s="59">
        <f t="shared" si="2106"/>
        <v>0</v>
      </c>
      <c r="I459" s="60">
        <f t="shared" si="1737"/>
        <v>0</v>
      </c>
      <c r="J459" s="60">
        <f t="shared" si="1738"/>
        <v>0</v>
      </c>
      <c r="K459" s="59">
        <f t="shared" ref="K459:W459" si="2107">K460</f>
        <v>0</v>
      </c>
      <c r="L459" s="59">
        <f t="shared" si="2107"/>
        <v>0</v>
      </c>
      <c r="M459" s="59">
        <f t="shared" si="2107"/>
        <v>0</v>
      </c>
      <c r="N459" s="59">
        <f t="shared" si="2107"/>
        <v>0</v>
      </c>
      <c r="O459" s="59">
        <f t="shared" si="2107"/>
        <v>0</v>
      </c>
      <c r="P459" s="59">
        <f t="shared" si="2107"/>
        <v>0</v>
      </c>
      <c r="Q459" s="59">
        <f t="shared" si="2107"/>
        <v>0</v>
      </c>
      <c r="R459" s="59">
        <f t="shared" si="2107"/>
        <v>0</v>
      </c>
      <c r="S459" s="59">
        <f t="shared" si="2107"/>
        <v>0</v>
      </c>
      <c r="T459" s="59">
        <f t="shared" si="2107"/>
        <v>0</v>
      </c>
      <c r="U459" s="59">
        <f t="shared" si="2107"/>
        <v>0</v>
      </c>
      <c r="V459" s="59">
        <f t="shared" si="2107"/>
        <v>0</v>
      </c>
      <c r="W459" s="59">
        <f t="shared" si="2107"/>
        <v>0</v>
      </c>
      <c r="X459" s="63">
        <f t="shared" ref="X459:Y459" si="2108">IF(O459&gt;0,O459/K459,0)</f>
        <v>0</v>
      </c>
      <c r="Y459" s="63">
        <f t="shared" si="2108"/>
        <v>0</v>
      </c>
      <c r="Z459" s="63">
        <f t="shared" si="1518"/>
        <v>0</v>
      </c>
      <c r="AA459" s="59">
        <f t="shared" ref="AA459:BW459" si="2109">AA460</f>
        <v>0</v>
      </c>
      <c r="AB459" s="59">
        <f t="shared" si="2109"/>
        <v>0</v>
      </c>
      <c r="AC459" s="59">
        <f t="shared" si="2109"/>
        <v>0</v>
      </c>
      <c r="AD459" s="59">
        <f t="shared" si="2109"/>
        <v>0</v>
      </c>
      <c r="AE459" s="59">
        <f t="shared" si="2109"/>
        <v>0</v>
      </c>
      <c r="AF459" s="59">
        <f t="shared" si="2109"/>
        <v>0</v>
      </c>
      <c r="AG459" s="59">
        <f t="shared" si="2109"/>
        <v>0</v>
      </c>
      <c r="AH459" s="59">
        <f t="shared" si="2109"/>
        <v>0</v>
      </c>
      <c r="AI459" s="59">
        <f t="shared" si="2109"/>
        <v>0</v>
      </c>
      <c r="AJ459" s="59">
        <f t="shared" si="2109"/>
        <v>0</v>
      </c>
      <c r="AK459" s="59">
        <f t="shared" si="2109"/>
        <v>0</v>
      </c>
      <c r="AL459" s="59">
        <f t="shared" si="2109"/>
        <v>0</v>
      </c>
      <c r="AM459" s="59">
        <f t="shared" si="2109"/>
        <v>0</v>
      </c>
      <c r="AN459" s="59">
        <f t="shared" si="2109"/>
        <v>0</v>
      </c>
      <c r="AO459" s="59">
        <f t="shared" si="2109"/>
        <v>0</v>
      </c>
      <c r="AP459" s="59">
        <f t="shared" si="2109"/>
        <v>0</v>
      </c>
      <c r="AQ459" s="59">
        <f t="shared" si="2109"/>
        <v>0</v>
      </c>
      <c r="AR459" s="59">
        <f t="shared" si="2109"/>
        <v>0</v>
      </c>
      <c r="AS459" s="59">
        <f t="shared" si="2109"/>
        <v>0</v>
      </c>
      <c r="AT459" s="59">
        <f t="shared" si="2109"/>
        <v>0</v>
      </c>
      <c r="AU459" s="59">
        <f t="shared" si="2109"/>
        <v>0</v>
      </c>
      <c r="AV459" s="59">
        <f t="shared" si="2109"/>
        <v>0</v>
      </c>
      <c r="AW459" s="59">
        <f t="shared" si="2109"/>
        <v>0</v>
      </c>
      <c r="AX459" s="59">
        <f t="shared" si="2109"/>
        <v>0</v>
      </c>
      <c r="AY459" s="59">
        <f t="shared" si="2109"/>
        <v>0</v>
      </c>
      <c r="AZ459" s="59">
        <f t="shared" si="2109"/>
        <v>0</v>
      </c>
      <c r="BA459" s="59">
        <f t="shared" si="2109"/>
        <v>0</v>
      </c>
      <c r="BB459" s="59">
        <f t="shared" si="2109"/>
        <v>0</v>
      </c>
      <c r="BC459" s="59">
        <f t="shared" si="2109"/>
        <v>0</v>
      </c>
      <c r="BD459" s="59">
        <f t="shared" si="2109"/>
        <v>0</v>
      </c>
      <c r="BE459" s="59">
        <f t="shared" si="2109"/>
        <v>0</v>
      </c>
      <c r="BF459" s="59">
        <f t="shared" si="2109"/>
        <v>0</v>
      </c>
      <c r="BG459" s="59">
        <f t="shared" si="2109"/>
        <v>0</v>
      </c>
      <c r="BH459" s="59">
        <f t="shared" si="2109"/>
        <v>0</v>
      </c>
      <c r="BI459" s="59">
        <f t="shared" si="2109"/>
        <v>0</v>
      </c>
      <c r="BJ459" s="59">
        <f t="shared" si="2109"/>
        <v>0</v>
      </c>
      <c r="BK459" s="59">
        <f t="shared" si="2109"/>
        <v>0</v>
      </c>
      <c r="BL459" s="59">
        <f t="shared" si="2109"/>
        <v>0</v>
      </c>
      <c r="BM459" s="59">
        <f t="shared" si="2109"/>
        <v>0</v>
      </c>
      <c r="BN459" s="59">
        <f t="shared" si="2109"/>
        <v>0</v>
      </c>
      <c r="BO459" s="59">
        <f t="shared" si="2109"/>
        <v>0</v>
      </c>
      <c r="BP459" s="59">
        <f t="shared" si="2109"/>
        <v>0</v>
      </c>
      <c r="BQ459" s="59">
        <f t="shared" si="2109"/>
        <v>0</v>
      </c>
      <c r="BR459" s="59">
        <f t="shared" si="2109"/>
        <v>0</v>
      </c>
      <c r="BS459" s="59">
        <f t="shared" si="2109"/>
        <v>0</v>
      </c>
      <c r="BT459" s="59">
        <f t="shared" si="2109"/>
        <v>0</v>
      </c>
      <c r="BU459" s="59">
        <f t="shared" si="2109"/>
        <v>0</v>
      </c>
      <c r="BV459" s="59">
        <f t="shared" si="2109"/>
        <v>0</v>
      </c>
      <c r="BW459" s="59">
        <f t="shared" si="2109"/>
        <v>0</v>
      </c>
      <c r="BX459" s="1"/>
      <c r="BY459" s="1"/>
      <c r="BZ459" s="1"/>
      <c r="CA459" s="1"/>
      <c r="CB459" s="1"/>
      <c r="CC459" s="1"/>
      <c r="CD459" s="1"/>
      <c r="CE459" s="1"/>
      <c r="CF459" s="1"/>
      <c r="CG459" s="1"/>
    </row>
    <row r="460" spans="1:85" ht="15.75" customHeight="1">
      <c r="A460" s="108"/>
      <c r="B460" s="90"/>
      <c r="C460" s="91" t="s">
        <v>455</v>
      </c>
      <c r="D460" s="179" t="s">
        <v>799</v>
      </c>
      <c r="E460" s="163">
        <v>2144.3200000000002</v>
      </c>
      <c r="F460" s="164"/>
      <c r="G460" s="71">
        <f>E460-F460</f>
        <v>2144.3200000000002</v>
      </c>
      <c r="H460" s="70"/>
      <c r="I460" s="72">
        <f t="shared" si="1737"/>
        <v>0</v>
      </c>
      <c r="J460" s="72">
        <f t="shared" si="1738"/>
        <v>0</v>
      </c>
      <c r="K460" s="88"/>
      <c r="L460" s="74"/>
      <c r="M460" s="81"/>
      <c r="N460" s="107"/>
      <c r="O460" s="77">
        <f t="shared" ref="O460:Q460" si="2110">AA460+AD460+AG460+AJ460+AM460+AP460+AS460+AV460+AY460+BB460+BE460+BH460</f>
        <v>0</v>
      </c>
      <c r="P460" s="77">
        <f t="shared" si="2110"/>
        <v>0</v>
      </c>
      <c r="Q460" s="77">
        <f t="shared" si="2110"/>
        <v>0</v>
      </c>
      <c r="R460" s="77">
        <f t="shared" ref="R460:T460" si="2111">IF(BK460=0,SUM(AA460+AD460+AG460+AJ460+AM460+AP460+AS460+AV460+AY460+BB460+BE460+BH460),BK460)</f>
        <v>0</v>
      </c>
      <c r="S460" s="77">
        <f t="shared" si="2111"/>
        <v>0</v>
      </c>
      <c r="T460" s="77">
        <f t="shared" si="2111"/>
        <v>0</v>
      </c>
      <c r="U460" s="79">
        <f>K460-O460</f>
        <v>0</v>
      </c>
      <c r="V460" s="79">
        <f>L460-M460-S460</f>
        <v>0</v>
      </c>
      <c r="W460" s="79">
        <f>N460-Q460</f>
        <v>0</v>
      </c>
      <c r="X460" s="80">
        <f t="shared" ref="X460:Y460" si="2112">IF(O460&gt;0,O460/K460,0)</f>
        <v>0</v>
      </c>
      <c r="Y460" s="80">
        <f t="shared" si="2112"/>
        <v>0</v>
      </c>
      <c r="Z460" s="80">
        <f t="shared" si="1518"/>
        <v>0</v>
      </c>
      <c r="AA460" s="81"/>
      <c r="AB460" s="81"/>
      <c r="AC460" s="81"/>
      <c r="AD460" s="81"/>
      <c r="AE460" s="83"/>
      <c r="AF460" s="83"/>
      <c r="AG460" s="83"/>
      <c r="AH460" s="83"/>
      <c r="AI460" s="81"/>
      <c r="AJ460" s="81"/>
      <c r="AK460" s="81"/>
      <c r="AL460" s="81"/>
      <c r="AM460" s="81"/>
      <c r="AN460" s="81"/>
      <c r="AO460" s="81"/>
      <c r="AP460" s="81"/>
      <c r="AQ460" s="81"/>
      <c r="AR460" s="81"/>
      <c r="AS460" s="81"/>
      <c r="AT460" s="81"/>
      <c r="AU460" s="81"/>
      <c r="AV460" s="81"/>
      <c r="AW460" s="81"/>
      <c r="AX460" s="81"/>
      <c r="AY460" s="81"/>
      <c r="AZ460" s="81"/>
      <c r="BA460" s="81"/>
      <c r="BB460" s="81"/>
      <c r="BC460" s="81"/>
      <c r="BD460" s="81"/>
      <c r="BE460" s="81"/>
      <c r="BF460" s="81"/>
      <c r="BG460" s="81"/>
      <c r="BH460" s="81"/>
      <c r="BI460" s="81"/>
      <c r="BJ460" s="81"/>
      <c r="BK460" s="82">
        <v>0</v>
      </c>
      <c r="BL460" s="82">
        <v>0</v>
      </c>
      <c r="BM460" s="82">
        <v>0</v>
      </c>
      <c r="BN460" s="81">
        <f>IF(O460-BK460&gt;0,O460-BK460,0)</f>
        <v>0</v>
      </c>
      <c r="BO460" s="75">
        <f>IF(Q460-BM460&gt;0,Q460-BM460,0)</f>
        <v>0</v>
      </c>
      <c r="BP460" s="81">
        <f>IF(BN460+BO460&gt;0,BN460+BO460,0)</f>
        <v>0</v>
      </c>
      <c r="BQ460" s="81">
        <f>IF(U460=0,0,U460)</f>
        <v>0</v>
      </c>
      <c r="BR460" s="81">
        <f>IF(W460=0,0,W460)</f>
        <v>0</v>
      </c>
      <c r="BS460" s="81">
        <f>IF(BQ460+BR460&gt;0,BQ460+BR460,0)</f>
        <v>0</v>
      </c>
      <c r="BT460" s="81">
        <f>IF(V460&gt;0,V460,0)</f>
        <v>0</v>
      </c>
      <c r="BU460" s="81">
        <f>IF(BP460=0,0,BP460)</f>
        <v>0</v>
      </c>
      <c r="BV460" s="81">
        <f>IF(BS460=0,0,BS460)</f>
        <v>0</v>
      </c>
      <c r="BW460" s="81">
        <f>IF(BP460+BT460+BV460&gt;0,BP460+BT460+BV460,0)</f>
        <v>0</v>
      </c>
      <c r="BX460" s="1"/>
      <c r="BY460" s="1"/>
      <c r="BZ460" s="1"/>
      <c r="CA460" s="1"/>
      <c r="CB460" s="1"/>
      <c r="CC460" s="1"/>
      <c r="CD460" s="1"/>
      <c r="CE460" s="1"/>
      <c r="CF460" s="1"/>
      <c r="CG460" s="1"/>
    </row>
    <row r="461" spans="1:85" ht="15.75" customHeight="1">
      <c r="A461" s="326"/>
      <c r="B461" s="354"/>
      <c r="C461" s="328"/>
      <c r="D461" s="329" t="s">
        <v>800</v>
      </c>
      <c r="E461" s="330">
        <f t="shared" ref="E461:H461" si="2113">E462+E465+E467+E469</f>
        <v>23144.33</v>
      </c>
      <c r="F461" s="330">
        <f t="shared" si="2113"/>
        <v>2522.73</v>
      </c>
      <c r="G461" s="330">
        <f t="shared" si="2113"/>
        <v>20621.599999999999</v>
      </c>
      <c r="H461" s="330">
        <f t="shared" si="2113"/>
        <v>0</v>
      </c>
      <c r="I461" s="331">
        <f t="shared" si="1737"/>
        <v>0</v>
      </c>
      <c r="J461" s="331">
        <f t="shared" si="1738"/>
        <v>0</v>
      </c>
      <c r="K461" s="330">
        <f t="shared" ref="K461:W461" si="2114">K462+K465+K467+K469</f>
        <v>0</v>
      </c>
      <c r="L461" s="330">
        <f t="shared" si="2114"/>
        <v>0</v>
      </c>
      <c r="M461" s="330">
        <f t="shared" si="2114"/>
        <v>0</v>
      </c>
      <c r="N461" s="330">
        <f t="shared" si="2114"/>
        <v>0</v>
      </c>
      <c r="O461" s="330">
        <f t="shared" si="2114"/>
        <v>0</v>
      </c>
      <c r="P461" s="330">
        <f t="shared" si="2114"/>
        <v>0</v>
      </c>
      <c r="Q461" s="330">
        <f t="shared" si="2114"/>
        <v>0</v>
      </c>
      <c r="R461" s="330">
        <f t="shared" si="2114"/>
        <v>0</v>
      </c>
      <c r="S461" s="330">
        <f t="shared" si="2114"/>
        <v>0</v>
      </c>
      <c r="T461" s="330">
        <f t="shared" si="2114"/>
        <v>0</v>
      </c>
      <c r="U461" s="330">
        <f t="shared" si="2114"/>
        <v>0</v>
      </c>
      <c r="V461" s="330">
        <f t="shared" si="2114"/>
        <v>0</v>
      </c>
      <c r="W461" s="330">
        <f t="shared" si="2114"/>
        <v>0</v>
      </c>
      <c r="X461" s="374">
        <f t="shared" ref="X461:Y461" si="2115">IF(O461&gt;0,O461/K461,0)</f>
        <v>0</v>
      </c>
      <c r="Y461" s="374">
        <f t="shared" si="2115"/>
        <v>0</v>
      </c>
      <c r="Z461" s="374">
        <f t="shared" si="1518"/>
        <v>0</v>
      </c>
      <c r="AA461" s="330">
        <f t="shared" ref="AA461:BW461" si="2116">AA462+AA465+AA467+AA469</f>
        <v>0</v>
      </c>
      <c r="AB461" s="330">
        <f t="shared" si="2116"/>
        <v>0</v>
      </c>
      <c r="AC461" s="330">
        <f t="shared" si="2116"/>
        <v>0</v>
      </c>
      <c r="AD461" s="330">
        <f t="shared" si="2116"/>
        <v>0</v>
      </c>
      <c r="AE461" s="330">
        <f t="shared" si="2116"/>
        <v>0</v>
      </c>
      <c r="AF461" s="330">
        <f t="shared" si="2116"/>
        <v>0</v>
      </c>
      <c r="AG461" s="330">
        <f t="shared" si="2116"/>
        <v>0</v>
      </c>
      <c r="AH461" s="330">
        <f t="shared" si="2116"/>
        <v>0</v>
      </c>
      <c r="AI461" s="330">
        <f t="shared" si="2116"/>
        <v>0</v>
      </c>
      <c r="AJ461" s="330">
        <f t="shared" si="2116"/>
        <v>0</v>
      </c>
      <c r="AK461" s="330">
        <f t="shared" si="2116"/>
        <v>0</v>
      </c>
      <c r="AL461" s="330">
        <f t="shared" si="2116"/>
        <v>0</v>
      </c>
      <c r="AM461" s="330">
        <f t="shared" si="2116"/>
        <v>0</v>
      </c>
      <c r="AN461" s="330">
        <f t="shared" si="2116"/>
        <v>0</v>
      </c>
      <c r="AO461" s="330">
        <f t="shared" si="2116"/>
        <v>0</v>
      </c>
      <c r="AP461" s="330">
        <f t="shared" si="2116"/>
        <v>0</v>
      </c>
      <c r="AQ461" s="330">
        <f t="shared" si="2116"/>
        <v>0</v>
      </c>
      <c r="AR461" s="330">
        <f t="shared" si="2116"/>
        <v>0</v>
      </c>
      <c r="AS461" s="330">
        <f t="shared" si="2116"/>
        <v>0</v>
      </c>
      <c r="AT461" s="330">
        <f t="shared" si="2116"/>
        <v>0</v>
      </c>
      <c r="AU461" s="330">
        <f t="shared" si="2116"/>
        <v>0</v>
      </c>
      <c r="AV461" s="330">
        <f t="shared" si="2116"/>
        <v>0</v>
      </c>
      <c r="AW461" s="330">
        <f t="shared" si="2116"/>
        <v>0</v>
      </c>
      <c r="AX461" s="330">
        <f t="shared" si="2116"/>
        <v>0</v>
      </c>
      <c r="AY461" s="330">
        <f t="shared" si="2116"/>
        <v>0</v>
      </c>
      <c r="AZ461" s="330">
        <f t="shared" si="2116"/>
        <v>0</v>
      </c>
      <c r="BA461" s="330">
        <f t="shared" si="2116"/>
        <v>0</v>
      </c>
      <c r="BB461" s="330">
        <f t="shared" si="2116"/>
        <v>0</v>
      </c>
      <c r="BC461" s="330">
        <f t="shared" si="2116"/>
        <v>0</v>
      </c>
      <c r="BD461" s="330">
        <f t="shared" si="2116"/>
        <v>0</v>
      </c>
      <c r="BE461" s="330">
        <f t="shared" si="2116"/>
        <v>0</v>
      </c>
      <c r="BF461" s="330">
        <f t="shared" si="2116"/>
        <v>0</v>
      </c>
      <c r="BG461" s="330">
        <f t="shared" si="2116"/>
        <v>0</v>
      </c>
      <c r="BH461" s="330">
        <f t="shared" si="2116"/>
        <v>0</v>
      </c>
      <c r="BI461" s="330">
        <f t="shared" si="2116"/>
        <v>0</v>
      </c>
      <c r="BJ461" s="330">
        <f t="shared" si="2116"/>
        <v>0</v>
      </c>
      <c r="BK461" s="330">
        <f t="shared" si="2116"/>
        <v>0</v>
      </c>
      <c r="BL461" s="330">
        <f t="shared" si="2116"/>
        <v>0</v>
      </c>
      <c r="BM461" s="330">
        <f t="shared" si="2116"/>
        <v>0</v>
      </c>
      <c r="BN461" s="330">
        <f t="shared" si="2116"/>
        <v>0</v>
      </c>
      <c r="BO461" s="330">
        <f t="shared" si="2116"/>
        <v>0</v>
      </c>
      <c r="BP461" s="330">
        <f t="shared" si="2116"/>
        <v>0</v>
      </c>
      <c r="BQ461" s="330">
        <f t="shared" si="2116"/>
        <v>0</v>
      </c>
      <c r="BR461" s="330">
        <f t="shared" si="2116"/>
        <v>0</v>
      </c>
      <c r="BS461" s="330">
        <f t="shared" si="2116"/>
        <v>0</v>
      </c>
      <c r="BT461" s="330">
        <f t="shared" si="2116"/>
        <v>0</v>
      </c>
      <c r="BU461" s="330">
        <f t="shared" si="2116"/>
        <v>0</v>
      </c>
      <c r="BV461" s="330">
        <f t="shared" si="2116"/>
        <v>0</v>
      </c>
      <c r="BW461" s="330">
        <f t="shared" si="2116"/>
        <v>0</v>
      </c>
      <c r="BX461" s="1"/>
      <c r="BY461" s="1"/>
      <c r="BZ461" s="1"/>
      <c r="CA461" s="1"/>
      <c r="CB461" s="1"/>
      <c r="CC461" s="1"/>
      <c r="CD461" s="1"/>
      <c r="CE461" s="1"/>
      <c r="CF461" s="1"/>
      <c r="CG461" s="1"/>
    </row>
    <row r="462" spans="1:85" ht="15.75">
      <c r="A462" s="355"/>
      <c r="B462" s="356"/>
      <c r="C462" s="357"/>
      <c r="D462" s="57" t="s">
        <v>116</v>
      </c>
      <c r="E462" s="286">
        <f t="shared" ref="E462:H462" si="2117">SUM(E463:E464)</f>
        <v>8000</v>
      </c>
      <c r="F462" s="362">
        <f t="shared" si="2117"/>
        <v>0</v>
      </c>
      <c r="G462" s="362">
        <f t="shared" si="2117"/>
        <v>8000</v>
      </c>
      <c r="H462" s="362">
        <f t="shared" si="2117"/>
        <v>0</v>
      </c>
      <c r="I462" s="287">
        <f t="shared" si="1737"/>
        <v>0</v>
      </c>
      <c r="J462" s="287">
        <f t="shared" si="1738"/>
        <v>0</v>
      </c>
      <c r="K462" s="362">
        <f t="shared" ref="K462:W462" si="2118">SUM(K463:K464)</f>
        <v>0</v>
      </c>
      <c r="L462" s="362">
        <f t="shared" si="2118"/>
        <v>0</v>
      </c>
      <c r="M462" s="362">
        <f t="shared" si="2118"/>
        <v>0</v>
      </c>
      <c r="N462" s="362">
        <f t="shared" si="2118"/>
        <v>0</v>
      </c>
      <c r="O462" s="362">
        <f t="shared" si="2118"/>
        <v>0</v>
      </c>
      <c r="P462" s="362">
        <f t="shared" si="2118"/>
        <v>0</v>
      </c>
      <c r="Q462" s="362">
        <f t="shared" si="2118"/>
        <v>0</v>
      </c>
      <c r="R462" s="362">
        <f t="shared" si="2118"/>
        <v>0</v>
      </c>
      <c r="S462" s="362">
        <f t="shared" si="2118"/>
        <v>0</v>
      </c>
      <c r="T462" s="362">
        <f t="shared" si="2118"/>
        <v>0</v>
      </c>
      <c r="U462" s="362">
        <f t="shared" si="2118"/>
        <v>0</v>
      </c>
      <c r="V462" s="362">
        <f t="shared" si="2118"/>
        <v>0</v>
      </c>
      <c r="W462" s="362">
        <f t="shared" si="2118"/>
        <v>0</v>
      </c>
      <c r="X462" s="288">
        <f t="shared" ref="X462:Y462" si="2119">IF(O462&gt;0,O462/K462,0)</f>
        <v>0</v>
      </c>
      <c r="Y462" s="288">
        <f t="shared" si="2119"/>
        <v>0</v>
      </c>
      <c r="Z462" s="288">
        <f t="shared" si="1518"/>
        <v>0</v>
      </c>
      <c r="AA462" s="362">
        <f t="shared" ref="AA462:BW462" si="2120">SUM(AA463:AA464)</f>
        <v>0</v>
      </c>
      <c r="AB462" s="362">
        <f t="shared" si="2120"/>
        <v>0</v>
      </c>
      <c r="AC462" s="362">
        <f t="shared" si="2120"/>
        <v>0</v>
      </c>
      <c r="AD462" s="362">
        <f t="shared" si="2120"/>
        <v>0</v>
      </c>
      <c r="AE462" s="362">
        <f t="shared" si="2120"/>
        <v>0</v>
      </c>
      <c r="AF462" s="362">
        <f t="shared" si="2120"/>
        <v>0</v>
      </c>
      <c r="AG462" s="362">
        <f t="shared" si="2120"/>
        <v>0</v>
      </c>
      <c r="AH462" s="362">
        <f t="shared" si="2120"/>
        <v>0</v>
      </c>
      <c r="AI462" s="362">
        <f t="shared" si="2120"/>
        <v>0</v>
      </c>
      <c r="AJ462" s="362">
        <f t="shared" si="2120"/>
        <v>0</v>
      </c>
      <c r="AK462" s="362">
        <f t="shared" si="2120"/>
        <v>0</v>
      </c>
      <c r="AL462" s="362">
        <f t="shared" si="2120"/>
        <v>0</v>
      </c>
      <c r="AM462" s="362">
        <f t="shared" si="2120"/>
        <v>0</v>
      </c>
      <c r="AN462" s="362">
        <f t="shared" si="2120"/>
        <v>0</v>
      </c>
      <c r="AO462" s="362">
        <f t="shared" si="2120"/>
        <v>0</v>
      </c>
      <c r="AP462" s="362">
        <f t="shared" si="2120"/>
        <v>0</v>
      </c>
      <c r="AQ462" s="362">
        <f t="shared" si="2120"/>
        <v>0</v>
      </c>
      <c r="AR462" s="362">
        <f t="shared" si="2120"/>
        <v>0</v>
      </c>
      <c r="AS462" s="362">
        <f t="shared" si="2120"/>
        <v>0</v>
      </c>
      <c r="AT462" s="362">
        <f t="shared" si="2120"/>
        <v>0</v>
      </c>
      <c r="AU462" s="362">
        <f t="shared" si="2120"/>
        <v>0</v>
      </c>
      <c r="AV462" s="362">
        <f t="shared" si="2120"/>
        <v>0</v>
      </c>
      <c r="AW462" s="362">
        <f t="shared" si="2120"/>
        <v>0</v>
      </c>
      <c r="AX462" s="362">
        <f t="shared" si="2120"/>
        <v>0</v>
      </c>
      <c r="AY462" s="362">
        <f t="shared" si="2120"/>
        <v>0</v>
      </c>
      <c r="AZ462" s="362">
        <f t="shared" si="2120"/>
        <v>0</v>
      </c>
      <c r="BA462" s="362">
        <f t="shared" si="2120"/>
        <v>0</v>
      </c>
      <c r="BB462" s="362">
        <f t="shared" si="2120"/>
        <v>0</v>
      </c>
      <c r="BC462" s="362">
        <f t="shared" si="2120"/>
        <v>0</v>
      </c>
      <c r="BD462" s="362">
        <f t="shared" si="2120"/>
        <v>0</v>
      </c>
      <c r="BE462" s="362">
        <f t="shared" si="2120"/>
        <v>0</v>
      </c>
      <c r="BF462" s="362">
        <f t="shared" si="2120"/>
        <v>0</v>
      </c>
      <c r="BG462" s="362">
        <f t="shared" si="2120"/>
        <v>0</v>
      </c>
      <c r="BH462" s="362">
        <f t="shared" si="2120"/>
        <v>0</v>
      </c>
      <c r="BI462" s="362">
        <f t="shared" si="2120"/>
        <v>0</v>
      </c>
      <c r="BJ462" s="362">
        <f t="shared" si="2120"/>
        <v>0</v>
      </c>
      <c r="BK462" s="362">
        <f t="shared" si="2120"/>
        <v>0</v>
      </c>
      <c r="BL462" s="362">
        <f t="shared" si="2120"/>
        <v>0</v>
      </c>
      <c r="BM462" s="362">
        <f t="shared" si="2120"/>
        <v>0</v>
      </c>
      <c r="BN462" s="362">
        <f t="shared" si="2120"/>
        <v>0</v>
      </c>
      <c r="BO462" s="362">
        <f t="shared" si="2120"/>
        <v>0</v>
      </c>
      <c r="BP462" s="362">
        <f t="shared" si="2120"/>
        <v>0</v>
      </c>
      <c r="BQ462" s="362">
        <f t="shared" si="2120"/>
        <v>0</v>
      </c>
      <c r="BR462" s="362">
        <f t="shared" si="2120"/>
        <v>0</v>
      </c>
      <c r="BS462" s="362">
        <f t="shared" si="2120"/>
        <v>0</v>
      </c>
      <c r="BT462" s="362">
        <f t="shared" si="2120"/>
        <v>0</v>
      </c>
      <c r="BU462" s="362">
        <f t="shared" si="2120"/>
        <v>0</v>
      </c>
      <c r="BV462" s="362">
        <f t="shared" si="2120"/>
        <v>0</v>
      </c>
      <c r="BW462" s="362">
        <f t="shared" si="2120"/>
        <v>0</v>
      </c>
      <c r="BX462" s="1"/>
      <c r="BY462" s="1"/>
      <c r="BZ462" s="1"/>
      <c r="CA462" s="1"/>
      <c r="CB462" s="1"/>
      <c r="CC462" s="1"/>
      <c r="CD462" s="1"/>
      <c r="CE462" s="1"/>
      <c r="CF462" s="1"/>
      <c r="CG462" s="1"/>
    </row>
    <row r="463" spans="1:85" ht="15.75" customHeight="1">
      <c r="A463" s="84"/>
      <c r="B463" s="115"/>
      <c r="C463" s="86" t="s">
        <v>118</v>
      </c>
      <c r="D463" s="87" t="s">
        <v>119</v>
      </c>
      <c r="E463" s="70">
        <v>2000</v>
      </c>
      <c r="F463" s="93">
        <v>0</v>
      </c>
      <c r="G463" s="71">
        <f t="shared" ref="G463:G464" si="2121">E463-F463</f>
        <v>2000</v>
      </c>
      <c r="H463" s="70"/>
      <c r="I463" s="72">
        <f t="shared" si="1737"/>
        <v>0</v>
      </c>
      <c r="J463" s="72">
        <f t="shared" si="1738"/>
        <v>0</v>
      </c>
      <c r="K463" s="88"/>
      <c r="L463" s="74"/>
      <c r="M463" s="81"/>
      <c r="N463" s="107"/>
      <c r="O463" s="77">
        <f t="shared" ref="O463:Q463" si="2122">AA463+AD463+AG463+AJ463+AM463+AP463+AS463+AV463+AY463+BB463+BE463+BH463</f>
        <v>0</v>
      </c>
      <c r="P463" s="77">
        <f t="shared" si="2122"/>
        <v>0</v>
      </c>
      <c r="Q463" s="77">
        <f t="shared" si="2122"/>
        <v>0</v>
      </c>
      <c r="R463" s="77">
        <f t="shared" ref="R463:T463" si="2123">IF(BK463=0,SUM(AA463+AD463+AG463+AJ463+AM463+AP463+AS463+AV463+AY463+BB463+BE463+BH463),BK463)</f>
        <v>0</v>
      </c>
      <c r="S463" s="77">
        <f t="shared" si="2123"/>
        <v>0</v>
      </c>
      <c r="T463" s="77">
        <f t="shared" si="2123"/>
        <v>0</v>
      </c>
      <c r="U463" s="79">
        <f t="shared" ref="U463:U464" si="2124">K463-O463</f>
        <v>0</v>
      </c>
      <c r="V463" s="79">
        <f t="shared" ref="V463:V464" si="2125">L463-M463-S463</f>
        <v>0</v>
      </c>
      <c r="W463" s="79">
        <f t="shared" ref="W463:W464" si="2126">N463-Q463</f>
        <v>0</v>
      </c>
      <c r="X463" s="80">
        <f t="shared" ref="X463:Y463" si="2127">IF(O463&gt;0,O463/K463,0)</f>
        <v>0</v>
      </c>
      <c r="Y463" s="80">
        <f t="shared" si="2127"/>
        <v>0</v>
      </c>
      <c r="Z463" s="80">
        <f t="shared" si="1518"/>
        <v>0</v>
      </c>
      <c r="AA463" s="81"/>
      <c r="AB463" s="81"/>
      <c r="AC463" s="81"/>
      <c r="AD463" s="81"/>
      <c r="AE463" s="83"/>
      <c r="AF463" s="83"/>
      <c r="AG463" s="83"/>
      <c r="AH463" s="83"/>
      <c r="AI463" s="81"/>
      <c r="AJ463" s="81"/>
      <c r="AK463" s="81"/>
      <c r="AL463" s="81"/>
      <c r="AM463" s="81"/>
      <c r="AN463" s="81"/>
      <c r="AO463" s="81"/>
      <c r="AP463" s="81"/>
      <c r="AQ463" s="81"/>
      <c r="AR463" s="81"/>
      <c r="AS463" s="81"/>
      <c r="AT463" s="81"/>
      <c r="AU463" s="81"/>
      <c r="AV463" s="81"/>
      <c r="AW463" s="81"/>
      <c r="AX463" s="81"/>
      <c r="AY463" s="81"/>
      <c r="AZ463" s="81"/>
      <c r="BA463" s="81"/>
      <c r="BB463" s="81"/>
      <c r="BC463" s="81"/>
      <c r="BD463" s="81"/>
      <c r="BE463" s="81"/>
      <c r="BF463" s="81"/>
      <c r="BG463" s="81"/>
      <c r="BH463" s="81"/>
      <c r="BI463" s="81"/>
      <c r="BJ463" s="81"/>
      <c r="BK463" s="82">
        <v>0</v>
      </c>
      <c r="BL463" s="82">
        <v>0</v>
      </c>
      <c r="BM463" s="82">
        <v>0</v>
      </c>
      <c r="BN463" s="81">
        <f t="shared" ref="BN463:BN464" si="2128">IF(O463-BK463&gt;0,O463-BK463,0)</f>
        <v>0</v>
      </c>
      <c r="BO463" s="75">
        <f t="shared" ref="BO463:BO464" si="2129">IF(Q463-BM463&gt;0,Q463-BM463,0)</f>
        <v>0</v>
      </c>
      <c r="BP463" s="81">
        <f t="shared" ref="BP463:BP464" si="2130">IF(BN463+BO463&gt;0,BN463+BO463,0)</f>
        <v>0</v>
      </c>
      <c r="BQ463" s="81">
        <f t="shared" ref="BQ463:BQ464" si="2131">IF(U463=0,0,U463)</f>
        <v>0</v>
      </c>
      <c r="BR463" s="81">
        <f t="shared" ref="BR463:BR464" si="2132">IF(W463=0,0,W463)</f>
        <v>0</v>
      </c>
      <c r="BS463" s="81">
        <f t="shared" ref="BS463:BS464" si="2133">IF(BQ463+BR463&gt;0,BQ463+BR463,0)</f>
        <v>0</v>
      </c>
      <c r="BT463" s="81">
        <f t="shared" ref="BT463:BT464" si="2134">IF(V463&gt;0,V463,0)</f>
        <v>0</v>
      </c>
      <c r="BU463" s="81">
        <f t="shared" ref="BU463:BU464" si="2135">IF(BP463=0,0,BP463)</f>
        <v>0</v>
      </c>
      <c r="BV463" s="81">
        <f t="shared" ref="BV463:BV464" si="2136">IF(BS463=0,0,BS463)</f>
        <v>0</v>
      </c>
      <c r="BW463" s="81">
        <f t="shared" ref="BW463:BW464" si="2137">IF(BP463+BT463+BV463&gt;0,BP463+BT463+BV463,0)</f>
        <v>0</v>
      </c>
      <c r="BX463" s="1"/>
      <c r="BY463" s="1"/>
      <c r="BZ463" s="1"/>
      <c r="CA463" s="1"/>
      <c r="CB463" s="1"/>
      <c r="CC463" s="1"/>
      <c r="CD463" s="1"/>
      <c r="CE463" s="1"/>
      <c r="CF463" s="1"/>
      <c r="CG463" s="1"/>
    </row>
    <row r="464" spans="1:85" ht="15.75" customHeight="1">
      <c r="A464" s="84"/>
      <c r="B464" s="115"/>
      <c r="C464" s="86" t="s">
        <v>123</v>
      </c>
      <c r="D464" s="87" t="s">
        <v>124</v>
      </c>
      <c r="E464" s="70">
        <v>6000</v>
      </c>
      <c r="F464" s="164"/>
      <c r="G464" s="71">
        <f t="shared" si="2121"/>
        <v>6000</v>
      </c>
      <c r="H464" s="70"/>
      <c r="I464" s="72">
        <f t="shared" si="1737"/>
        <v>0</v>
      </c>
      <c r="J464" s="72">
        <f t="shared" si="1738"/>
        <v>0</v>
      </c>
      <c r="K464" s="88"/>
      <c r="L464" s="74"/>
      <c r="M464" s="81"/>
      <c r="N464" s="107"/>
      <c r="O464" s="77">
        <f t="shared" ref="O464:Q464" si="2138">AA464+AD464+AG464+AJ464+AM464+AP464+AS464+AV464+AY464+BB464+BE464+BH464</f>
        <v>0</v>
      </c>
      <c r="P464" s="77">
        <f t="shared" si="2138"/>
        <v>0</v>
      </c>
      <c r="Q464" s="77">
        <f t="shared" si="2138"/>
        <v>0</v>
      </c>
      <c r="R464" s="77">
        <f t="shared" ref="R464:T464" si="2139">IF(BK464=0,SUM(AA464+AD464+AG464+AJ464+AM464+AP464+AS464+AV464+AY464+BB464+BE464+BH464),BK464)</f>
        <v>0</v>
      </c>
      <c r="S464" s="77">
        <f t="shared" si="2139"/>
        <v>0</v>
      </c>
      <c r="T464" s="77">
        <f t="shared" si="2139"/>
        <v>0</v>
      </c>
      <c r="U464" s="79">
        <f t="shared" si="2124"/>
        <v>0</v>
      </c>
      <c r="V464" s="79">
        <f t="shared" si="2125"/>
        <v>0</v>
      </c>
      <c r="W464" s="79">
        <f t="shared" si="2126"/>
        <v>0</v>
      </c>
      <c r="X464" s="80">
        <f t="shared" ref="X464:Y464" si="2140">IF(O464&gt;0,O464/K464,0)</f>
        <v>0</v>
      </c>
      <c r="Y464" s="80">
        <f t="shared" si="2140"/>
        <v>0</v>
      </c>
      <c r="Z464" s="80">
        <f t="shared" si="1518"/>
        <v>0</v>
      </c>
      <c r="AA464" s="81"/>
      <c r="AB464" s="81"/>
      <c r="AC464" s="81"/>
      <c r="AD464" s="81"/>
      <c r="AE464" s="83"/>
      <c r="AF464" s="83"/>
      <c r="AG464" s="83"/>
      <c r="AH464" s="83"/>
      <c r="AI464" s="81"/>
      <c r="AJ464" s="81"/>
      <c r="AK464" s="81"/>
      <c r="AL464" s="81"/>
      <c r="AM464" s="81"/>
      <c r="AN464" s="81"/>
      <c r="AO464" s="81"/>
      <c r="AP464" s="81"/>
      <c r="AQ464" s="81"/>
      <c r="AR464" s="81"/>
      <c r="AS464" s="81"/>
      <c r="AT464" s="81"/>
      <c r="AU464" s="81"/>
      <c r="AV464" s="81"/>
      <c r="AW464" s="81"/>
      <c r="AX464" s="81"/>
      <c r="AY464" s="81"/>
      <c r="AZ464" s="81"/>
      <c r="BA464" s="81"/>
      <c r="BB464" s="81"/>
      <c r="BC464" s="81"/>
      <c r="BD464" s="81"/>
      <c r="BE464" s="81"/>
      <c r="BF464" s="81"/>
      <c r="BG464" s="81"/>
      <c r="BH464" s="81"/>
      <c r="BI464" s="81"/>
      <c r="BJ464" s="81"/>
      <c r="BK464" s="82">
        <v>0</v>
      </c>
      <c r="BL464" s="82">
        <v>0</v>
      </c>
      <c r="BM464" s="82">
        <v>0</v>
      </c>
      <c r="BN464" s="81">
        <f t="shared" si="2128"/>
        <v>0</v>
      </c>
      <c r="BO464" s="75">
        <f t="shared" si="2129"/>
        <v>0</v>
      </c>
      <c r="BP464" s="81">
        <f t="shared" si="2130"/>
        <v>0</v>
      </c>
      <c r="BQ464" s="81">
        <f t="shared" si="2131"/>
        <v>0</v>
      </c>
      <c r="BR464" s="81">
        <f t="shared" si="2132"/>
        <v>0</v>
      </c>
      <c r="BS464" s="81">
        <f t="shared" si="2133"/>
        <v>0</v>
      </c>
      <c r="BT464" s="81">
        <f t="shared" si="2134"/>
        <v>0</v>
      </c>
      <c r="BU464" s="81">
        <f t="shared" si="2135"/>
        <v>0</v>
      </c>
      <c r="BV464" s="81">
        <f t="shared" si="2136"/>
        <v>0</v>
      </c>
      <c r="BW464" s="81">
        <f t="shared" si="2137"/>
        <v>0</v>
      </c>
      <c r="BX464" s="1"/>
      <c r="BY464" s="1"/>
      <c r="BZ464" s="1"/>
      <c r="CA464" s="1"/>
      <c r="CB464" s="1"/>
      <c r="CC464" s="1"/>
      <c r="CD464" s="1"/>
      <c r="CE464" s="1"/>
      <c r="CF464" s="1"/>
      <c r="CG464" s="1"/>
    </row>
    <row r="465" spans="1:85" ht="15.75">
      <c r="A465" s="270"/>
      <c r="B465" s="271"/>
      <c r="C465" s="272"/>
      <c r="D465" s="112" t="s">
        <v>128</v>
      </c>
      <c r="E465" s="286">
        <f t="shared" ref="E465:H465" si="2141">SUM(E466)</f>
        <v>3000</v>
      </c>
      <c r="F465" s="362">
        <f t="shared" si="2141"/>
        <v>0</v>
      </c>
      <c r="G465" s="362">
        <f t="shared" si="2141"/>
        <v>3000</v>
      </c>
      <c r="H465" s="362">
        <f t="shared" si="2141"/>
        <v>0</v>
      </c>
      <c r="I465" s="287">
        <f t="shared" si="1737"/>
        <v>0</v>
      </c>
      <c r="J465" s="287">
        <f t="shared" si="1738"/>
        <v>0</v>
      </c>
      <c r="K465" s="362">
        <f t="shared" ref="K465:W465" si="2142">SUM(K466)</f>
        <v>0</v>
      </c>
      <c r="L465" s="362">
        <f t="shared" si="2142"/>
        <v>0</v>
      </c>
      <c r="M465" s="362">
        <f t="shared" si="2142"/>
        <v>0</v>
      </c>
      <c r="N465" s="362">
        <f t="shared" si="2142"/>
        <v>0</v>
      </c>
      <c r="O465" s="362">
        <f t="shared" si="2142"/>
        <v>0</v>
      </c>
      <c r="P465" s="362">
        <f t="shared" si="2142"/>
        <v>0</v>
      </c>
      <c r="Q465" s="362">
        <f t="shared" si="2142"/>
        <v>0</v>
      </c>
      <c r="R465" s="362">
        <f t="shared" si="2142"/>
        <v>0</v>
      </c>
      <c r="S465" s="362">
        <f t="shared" si="2142"/>
        <v>0</v>
      </c>
      <c r="T465" s="362">
        <f t="shared" si="2142"/>
        <v>0</v>
      </c>
      <c r="U465" s="362">
        <f t="shared" si="2142"/>
        <v>0</v>
      </c>
      <c r="V465" s="362">
        <f t="shared" si="2142"/>
        <v>0</v>
      </c>
      <c r="W465" s="362">
        <f t="shared" si="2142"/>
        <v>0</v>
      </c>
      <c r="X465" s="288">
        <f t="shared" ref="X465:Y465" si="2143">IF(O465&gt;0,O465/K465,0)</f>
        <v>0</v>
      </c>
      <c r="Y465" s="288">
        <f t="shared" si="2143"/>
        <v>0</v>
      </c>
      <c r="Z465" s="288">
        <f t="shared" si="1518"/>
        <v>0</v>
      </c>
      <c r="AA465" s="362">
        <f t="shared" ref="AA465:BW465" si="2144">SUM(AA466)</f>
        <v>0</v>
      </c>
      <c r="AB465" s="362">
        <f t="shared" si="2144"/>
        <v>0</v>
      </c>
      <c r="AC465" s="362">
        <f t="shared" si="2144"/>
        <v>0</v>
      </c>
      <c r="AD465" s="362">
        <f t="shared" si="2144"/>
        <v>0</v>
      </c>
      <c r="AE465" s="362">
        <f t="shared" si="2144"/>
        <v>0</v>
      </c>
      <c r="AF465" s="362">
        <f t="shared" si="2144"/>
        <v>0</v>
      </c>
      <c r="AG465" s="362">
        <f t="shared" si="2144"/>
        <v>0</v>
      </c>
      <c r="AH465" s="362">
        <f t="shared" si="2144"/>
        <v>0</v>
      </c>
      <c r="AI465" s="362">
        <f t="shared" si="2144"/>
        <v>0</v>
      </c>
      <c r="AJ465" s="362">
        <f t="shared" si="2144"/>
        <v>0</v>
      </c>
      <c r="AK465" s="362">
        <f t="shared" si="2144"/>
        <v>0</v>
      </c>
      <c r="AL465" s="362">
        <f t="shared" si="2144"/>
        <v>0</v>
      </c>
      <c r="AM465" s="362">
        <f t="shared" si="2144"/>
        <v>0</v>
      </c>
      <c r="AN465" s="362">
        <f t="shared" si="2144"/>
        <v>0</v>
      </c>
      <c r="AO465" s="362">
        <f t="shared" si="2144"/>
        <v>0</v>
      </c>
      <c r="AP465" s="362">
        <f t="shared" si="2144"/>
        <v>0</v>
      </c>
      <c r="AQ465" s="362">
        <f t="shared" si="2144"/>
        <v>0</v>
      </c>
      <c r="AR465" s="362">
        <f t="shared" si="2144"/>
        <v>0</v>
      </c>
      <c r="AS465" s="362">
        <f t="shared" si="2144"/>
        <v>0</v>
      </c>
      <c r="AT465" s="362">
        <f t="shared" si="2144"/>
        <v>0</v>
      </c>
      <c r="AU465" s="362">
        <f t="shared" si="2144"/>
        <v>0</v>
      </c>
      <c r="AV465" s="362">
        <f t="shared" si="2144"/>
        <v>0</v>
      </c>
      <c r="AW465" s="362">
        <f t="shared" si="2144"/>
        <v>0</v>
      </c>
      <c r="AX465" s="362">
        <f t="shared" si="2144"/>
        <v>0</v>
      </c>
      <c r="AY465" s="362">
        <f t="shared" si="2144"/>
        <v>0</v>
      </c>
      <c r="AZ465" s="362">
        <f t="shared" si="2144"/>
        <v>0</v>
      </c>
      <c r="BA465" s="362">
        <f t="shared" si="2144"/>
        <v>0</v>
      </c>
      <c r="BB465" s="362">
        <f t="shared" si="2144"/>
        <v>0</v>
      </c>
      <c r="BC465" s="362">
        <f t="shared" si="2144"/>
        <v>0</v>
      </c>
      <c r="BD465" s="362">
        <f t="shared" si="2144"/>
        <v>0</v>
      </c>
      <c r="BE465" s="362">
        <f t="shared" si="2144"/>
        <v>0</v>
      </c>
      <c r="BF465" s="362">
        <f t="shared" si="2144"/>
        <v>0</v>
      </c>
      <c r="BG465" s="362">
        <f t="shared" si="2144"/>
        <v>0</v>
      </c>
      <c r="BH465" s="362">
        <f t="shared" si="2144"/>
        <v>0</v>
      </c>
      <c r="BI465" s="362">
        <f t="shared" si="2144"/>
        <v>0</v>
      </c>
      <c r="BJ465" s="362">
        <f t="shared" si="2144"/>
        <v>0</v>
      </c>
      <c r="BK465" s="362">
        <f t="shared" si="2144"/>
        <v>0</v>
      </c>
      <c r="BL465" s="362">
        <f t="shared" si="2144"/>
        <v>0</v>
      </c>
      <c r="BM465" s="362">
        <f t="shared" si="2144"/>
        <v>0</v>
      </c>
      <c r="BN465" s="362">
        <f t="shared" si="2144"/>
        <v>0</v>
      </c>
      <c r="BO465" s="362">
        <f t="shared" si="2144"/>
        <v>0</v>
      </c>
      <c r="BP465" s="362">
        <f t="shared" si="2144"/>
        <v>0</v>
      </c>
      <c r="BQ465" s="362">
        <f t="shared" si="2144"/>
        <v>0</v>
      </c>
      <c r="BR465" s="362">
        <f t="shared" si="2144"/>
        <v>0</v>
      </c>
      <c r="BS465" s="362">
        <f t="shared" si="2144"/>
        <v>0</v>
      </c>
      <c r="BT465" s="362">
        <f t="shared" si="2144"/>
        <v>0</v>
      </c>
      <c r="BU465" s="362">
        <f t="shared" si="2144"/>
        <v>0</v>
      </c>
      <c r="BV465" s="362">
        <f t="shared" si="2144"/>
        <v>0</v>
      </c>
      <c r="BW465" s="362">
        <f t="shared" si="2144"/>
        <v>0</v>
      </c>
      <c r="BX465" s="1"/>
      <c r="BY465" s="1"/>
      <c r="BZ465" s="1"/>
      <c r="CA465" s="1"/>
      <c r="CB465" s="1"/>
      <c r="CC465" s="1"/>
      <c r="CD465" s="1"/>
      <c r="CE465" s="1"/>
      <c r="CF465" s="1"/>
      <c r="CG465" s="1"/>
    </row>
    <row r="466" spans="1:85" ht="15.75" customHeight="1">
      <c r="A466" s="84"/>
      <c r="B466" s="115"/>
      <c r="C466" s="86" t="s">
        <v>135</v>
      </c>
      <c r="D466" s="87" t="s">
        <v>136</v>
      </c>
      <c r="E466" s="70">
        <v>3000</v>
      </c>
      <c r="F466" s="164"/>
      <c r="G466" s="71">
        <f>E466-F466</f>
        <v>3000</v>
      </c>
      <c r="H466" s="70"/>
      <c r="I466" s="72">
        <f t="shared" si="1737"/>
        <v>0</v>
      </c>
      <c r="J466" s="72">
        <f t="shared" si="1738"/>
        <v>0</v>
      </c>
      <c r="K466" s="88"/>
      <c r="L466" s="74"/>
      <c r="M466" s="81"/>
      <c r="N466" s="107"/>
      <c r="O466" s="77">
        <f t="shared" ref="O466:Q466" si="2145">AA466+AD466+AG466+AJ466+AM466+AP466+AS466+AV466+AY466+BB466+BE466+BH466</f>
        <v>0</v>
      </c>
      <c r="P466" s="77">
        <f t="shared" si="2145"/>
        <v>0</v>
      </c>
      <c r="Q466" s="77">
        <f t="shared" si="2145"/>
        <v>0</v>
      </c>
      <c r="R466" s="77">
        <f t="shared" ref="R466:T466" si="2146">IF(BK466=0,SUM(AA466+AD466+AG466+AJ466+AM466+AP466+AS466+AV466+AY466+BB466+BE466+BH466),BK466)</f>
        <v>0</v>
      </c>
      <c r="S466" s="77">
        <f t="shared" si="2146"/>
        <v>0</v>
      </c>
      <c r="T466" s="77">
        <f t="shared" si="2146"/>
        <v>0</v>
      </c>
      <c r="U466" s="79">
        <f>K466-O466</f>
        <v>0</v>
      </c>
      <c r="V466" s="79">
        <f>L466-M466-S466</f>
        <v>0</v>
      </c>
      <c r="W466" s="79">
        <f>N466-Q466</f>
        <v>0</v>
      </c>
      <c r="X466" s="80">
        <f t="shared" ref="X466:Y466" si="2147">IF(O466&gt;0,O466/K466,0)</f>
        <v>0</v>
      </c>
      <c r="Y466" s="80">
        <f t="shared" si="2147"/>
        <v>0</v>
      </c>
      <c r="Z466" s="80">
        <f t="shared" si="1518"/>
        <v>0</v>
      </c>
      <c r="AA466" s="81"/>
      <c r="AB466" s="81"/>
      <c r="AC466" s="81"/>
      <c r="AD466" s="81"/>
      <c r="AE466" s="83"/>
      <c r="AF466" s="83"/>
      <c r="AG466" s="83"/>
      <c r="AH466" s="83"/>
      <c r="AI466" s="81"/>
      <c r="AJ466" s="81"/>
      <c r="AK466" s="81"/>
      <c r="AL466" s="81"/>
      <c r="AM466" s="81"/>
      <c r="AN466" s="81"/>
      <c r="AO466" s="81"/>
      <c r="AP466" s="81"/>
      <c r="AQ466" s="81"/>
      <c r="AR466" s="81"/>
      <c r="AS466" s="81"/>
      <c r="AT466" s="81"/>
      <c r="AU466" s="81"/>
      <c r="AV466" s="81"/>
      <c r="AW466" s="81"/>
      <c r="AX466" s="81"/>
      <c r="AY466" s="81"/>
      <c r="AZ466" s="81"/>
      <c r="BA466" s="81"/>
      <c r="BB466" s="81"/>
      <c r="BC466" s="81"/>
      <c r="BD466" s="81"/>
      <c r="BE466" s="81"/>
      <c r="BF466" s="81"/>
      <c r="BG466" s="81"/>
      <c r="BH466" s="81"/>
      <c r="BI466" s="81"/>
      <c r="BJ466" s="81"/>
      <c r="BK466" s="82">
        <v>0</v>
      </c>
      <c r="BL466" s="82">
        <v>0</v>
      </c>
      <c r="BM466" s="82">
        <v>0</v>
      </c>
      <c r="BN466" s="81">
        <f>IF(O466-BK466&gt;0,O466-BK466,0)</f>
        <v>0</v>
      </c>
      <c r="BO466" s="75">
        <f>IF(Q466-BM466&gt;0,Q466-BM466,0)</f>
        <v>0</v>
      </c>
      <c r="BP466" s="81">
        <f>IF(BN466+BO466&gt;0,BN466+BO466,0)</f>
        <v>0</v>
      </c>
      <c r="BQ466" s="81">
        <f>IF(U466=0,0,U466)</f>
        <v>0</v>
      </c>
      <c r="BR466" s="81">
        <f>IF(W466=0,0,W466)</f>
        <v>0</v>
      </c>
      <c r="BS466" s="81">
        <f>IF(BQ466+BR466&gt;0,BQ466+BR466,0)</f>
        <v>0</v>
      </c>
      <c r="BT466" s="81">
        <f>IF(V466&gt;0,V466,0)</f>
        <v>0</v>
      </c>
      <c r="BU466" s="81">
        <f>IF(BP466=0,0,BP466)</f>
        <v>0</v>
      </c>
      <c r="BV466" s="81">
        <f>IF(BS466=0,0,BS466)</f>
        <v>0</v>
      </c>
      <c r="BW466" s="81">
        <f>IF(BP466+BT466+BV466&gt;0,BP466+BT466+BV466,0)</f>
        <v>0</v>
      </c>
      <c r="BX466" s="1"/>
      <c r="BY466" s="1"/>
      <c r="BZ466" s="1"/>
      <c r="CA466" s="1"/>
      <c r="CB466" s="1"/>
      <c r="CC466" s="1"/>
      <c r="CD466" s="1"/>
      <c r="CE466" s="1"/>
      <c r="CF466" s="1"/>
      <c r="CG466" s="1"/>
    </row>
    <row r="467" spans="1:85" ht="15.75" customHeight="1">
      <c r="A467" s="270"/>
      <c r="B467" s="271"/>
      <c r="C467" s="272"/>
      <c r="D467" s="112" t="s">
        <v>452</v>
      </c>
      <c r="E467" s="58">
        <f t="shared" ref="E467:H467" si="2148">E468</f>
        <v>10000</v>
      </c>
      <c r="F467" s="59">
        <f t="shared" si="2148"/>
        <v>2522.73</v>
      </c>
      <c r="G467" s="59">
        <f t="shared" si="2148"/>
        <v>7477.27</v>
      </c>
      <c r="H467" s="59">
        <f t="shared" si="2148"/>
        <v>0</v>
      </c>
      <c r="I467" s="60">
        <f t="shared" si="1737"/>
        <v>0</v>
      </c>
      <c r="J467" s="60">
        <f t="shared" si="1738"/>
        <v>0</v>
      </c>
      <c r="K467" s="59">
        <f t="shared" ref="K467:W467" si="2149">K468</f>
        <v>0</v>
      </c>
      <c r="L467" s="59">
        <f t="shared" si="2149"/>
        <v>0</v>
      </c>
      <c r="M467" s="59">
        <f t="shared" si="2149"/>
        <v>0</v>
      </c>
      <c r="N467" s="59">
        <f t="shared" si="2149"/>
        <v>0</v>
      </c>
      <c r="O467" s="59">
        <f t="shared" si="2149"/>
        <v>0</v>
      </c>
      <c r="P467" s="59">
        <f t="shared" si="2149"/>
        <v>0</v>
      </c>
      <c r="Q467" s="59">
        <f t="shared" si="2149"/>
        <v>0</v>
      </c>
      <c r="R467" s="59">
        <f t="shared" si="2149"/>
        <v>0</v>
      </c>
      <c r="S467" s="59">
        <f t="shared" si="2149"/>
        <v>0</v>
      </c>
      <c r="T467" s="59">
        <f t="shared" si="2149"/>
        <v>0</v>
      </c>
      <c r="U467" s="59">
        <f t="shared" si="2149"/>
        <v>0</v>
      </c>
      <c r="V467" s="59">
        <f t="shared" si="2149"/>
        <v>0</v>
      </c>
      <c r="W467" s="59">
        <f t="shared" si="2149"/>
        <v>0</v>
      </c>
      <c r="X467" s="63">
        <f t="shared" ref="X467:Y467" si="2150">IF(O467&gt;0,O467/K467,0)</f>
        <v>0</v>
      </c>
      <c r="Y467" s="63">
        <f t="shared" si="2150"/>
        <v>0</v>
      </c>
      <c r="Z467" s="63">
        <f t="shared" si="1518"/>
        <v>0</v>
      </c>
      <c r="AA467" s="59">
        <f t="shared" ref="AA467:BW467" si="2151">AA468</f>
        <v>0</v>
      </c>
      <c r="AB467" s="59">
        <f t="shared" si="2151"/>
        <v>0</v>
      </c>
      <c r="AC467" s="59">
        <f t="shared" si="2151"/>
        <v>0</v>
      </c>
      <c r="AD467" s="59">
        <f t="shared" si="2151"/>
        <v>0</v>
      </c>
      <c r="AE467" s="59">
        <f t="shared" si="2151"/>
        <v>0</v>
      </c>
      <c r="AF467" s="59">
        <f t="shared" si="2151"/>
        <v>0</v>
      </c>
      <c r="AG467" s="59">
        <f t="shared" si="2151"/>
        <v>0</v>
      </c>
      <c r="AH467" s="59">
        <f t="shared" si="2151"/>
        <v>0</v>
      </c>
      <c r="AI467" s="59">
        <f t="shared" si="2151"/>
        <v>0</v>
      </c>
      <c r="AJ467" s="59">
        <f t="shared" si="2151"/>
        <v>0</v>
      </c>
      <c r="AK467" s="59">
        <f t="shared" si="2151"/>
        <v>0</v>
      </c>
      <c r="AL467" s="59">
        <f t="shared" si="2151"/>
        <v>0</v>
      </c>
      <c r="AM467" s="59">
        <f t="shared" si="2151"/>
        <v>0</v>
      </c>
      <c r="AN467" s="59">
        <f t="shared" si="2151"/>
        <v>0</v>
      </c>
      <c r="AO467" s="59">
        <f t="shared" si="2151"/>
        <v>0</v>
      </c>
      <c r="AP467" s="59">
        <f t="shared" si="2151"/>
        <v>0</v>
      </c>
      <c r="AQ467" s="59">
        <f t="shared" si="2151"/>
        <v>0</v>
      </c>
      <c r="AR467" s="59">
        <f t="shared" si="2151"/>
        <v>0</v>
      </c>
      <c r="AS467" s="59">
        <f t="shared" si="2151"/>
        <v>0</v>
      </c>
      <c r="AT467" s="59">
        <f t="shared" si="2151"/>
        <v>0</v>
      </c>
      <c r="AU467" s="59">
        <f t="shared" si="2151"/>
        <v>0</v>
      </c>
      <c r="AV467" s="59">
        <f t="shared" si="2151"/>
        <v>0</v>
      </c>
      <c r="AW467" s="59">
        <f t="shared" si="2151"/>
        <v>0</v>
      </c>
      <c r="AX467" s="59">
        <f t="shared" si="2151"/>
        <v>0</v>
      </c>
      <c r="AY467" s="59">
        <f t="shared" si="2151"/>
        <v>0</v>
      </c>
      <c r="AZ467" s="59">
        <f t="shared" si="2151"/>
        <v>0</v>
      </c>
      <c r="BA467" s="59">
        <f t="shared" si="2151"/>
        <v>0</v>
      </c>
      <c r="BB467" s="59">
        <f t="shared" si="2151"/>
        <v>0</v>
      </c>
      <c r="BC467" s="59">
        <f t="shared" si="2151"/>
        <v>0</v>
      </c>
      <c r="BD467" s="59">
        <f t="shared" si="2151"/>
        <v>0</v>
      </c>
      <c r="BE467" s="59">
        <f t="shared" si="2151"/>
        <v>0</v>
      </c>
      <c r="BF467" s="59">
        <f t="shared" si="2151"/>
        <v>0</v>
      </c>
      <c r="BG467" s="59">
        <f t="shared" si="2151"/>
        <v>0</v>
      </c>
      <c r="BH467" s="59">
        <f t="shared" si="2151"/>
        <v>0</v>
      </c>
      <c r="BI467" s="59">
        <f t="shared" si="2151"/>
        <v>0</v>
      </c>
      <c r="BJ467" s="59">
        <f t="shared" si="2151"/>
        <v>0</v>
      </c>
      <c r="BK467" s="59">
        <f t="shared" si="2151"/>
        <v>0</v>
      </c>
      <c r="BL467" s="59">
        <f t="shared" si="2151"/>
        <v>0</v>
      </c>
      <c r="BM467" s="59">
        <f t="shared" si="2151"/>
        <v>0</v>
      </c>
      <c r="BN467" s="59">
        <f t="shared" si="2151"/>
        <v>0</v>
      </c>
      <c r="BO467" s="59">
        <f t="shared" si="2151"/>
        <v>0</v>
      </c>
      <c r="BP467" s="59">
        <f t="shared" si="2151"/>
        <v>0</v>
      </c>
      <c r="BQ467" s="59">
        <f t="shared" si="2151"/>
        <v>0</v>
      </c>
      <c r="BR467" s="59">
        <f t="shared" si="2151"/>
        <v>0</v>
      </c>
      <c r="BS467" s="59">
        <f t="shared" si="2151"/>
        <v>0</v>
      </c>
      <c r="BT467" s="59">
        <f t="shared" si="2151"/>
        <v>0</v>
      </c>
      <c r="BU467" s="59">
        <f t="shared" si="2151"/>
        <v>0</v>
      </c>
      <c r="BV467" s="59">
        <f t="shared" si="2151"/>
        <v>0</v>
      </c>
      <c r="BW467" s="59">
        <f t="shared" si="2151"/>
        <v>0</v>
      </c>
      <c r="BX467" s="1"/>
      <c r="BY467" s="1"/>
      <c r="BZ467" s="1"/>
      <c r="CA467" s="1"/>
      <c r="CB467" s="1"/>
      <c r="CC467" s="1"/>
      <c r="CD467" s="1"/>
      <c r="CE467" s="1"/>
      <c r="CF467" s="1"/>
      <c r="CG467" s="1"/>
    </row>
    <row r="468" spans="1:85" ht="15.75" customHeight="1">
      <c r="A468" s="84"/>
      <c r="B468" s="115"/>
      <c r="C468" s="86" t="s">
        <v>453</v>
      </c>
      <c r="D468" s="149" t="s">
        <v>454</v>
      </c>
      <c r="E468" s="70">
        <v>10000</v>
      </c>
      <c r="F468" s="375">
        <v>2522.73</v>
      </c>
      <c r="G468" s="71">
        <f>E468-F468</f>
        <v>7477.27</v>
      </c>
      <c r="H468" s="70"/>
      <c r="I468" s="72">
        <f t="shared" si="1737"/>
        <v>0</v>
      </c>
      <c r="J468" s="72">
        <f t="shared" si="1738"/>
        <v>0</v>
      </c>
      <c r="K468" s="88"/>
      <c r="L468" s="74"/>
      <c r="M468" s="81"/>
      <c r="N468" s="107"/>
      <c r="O468" s="77">
        <f t="shared" ref="O468:Q468" si="2152">AA468+AD468+AG468+AJ468+AM468+AP468+AS468+AV468+AY468+BB468+BE468+BH468</f>
        <v>0</v>
      </c>
      <c r="P468" s="77">
        <f t="shared" si="2152"/>
        <v>0</v>
      </c>
      <c r="Q468" s="77">
        <f t="shared" si="2152"/>
        <v>0</v>
      </c>
      <c r="R468" s="77">
        <f t="shared" ref="R468:T468" si="2153">IF(BK468=0,SUM(AA468+AD468+AG468+AJ468+AM468+AP468+AS468+AV468+AY468+BB468+BE468+BH468),BK468)</f>
        <v>0</v>
      </c>
      <c r="S468" s="77">
        <f t="shared" si="2153"/>
        <v>0</v>
      </c>
      <c r="T468" s="77">
        <f t="shared" si="2153"/>
        <v>0</v>
      </c>
      <c r="U468" s="79">
        <f>K468-O468</f>
        <v>0</v>
      </c>
      <c r="V468" s="79">
        <f>L468-M468-S468</f>
        <v>0</v>
      </c>
      <c r="W468" s="79">
        <f>N468-Q468</f>
        <v>0</v>
      </c>
      <c r="X468" s="80">
        <f t="shared" ref="X468:Y468" si="2154">IF(O468&gt;0,O468/K468,0)</f>
        <v>0</v>
      </c>
      <c r="Y468" s="80">
        <f t="shared" si="2154"/>
        <v>0</v>
      </c>
      <c r="Z468" s="80">
        <f t="shared" si="1518"/>
        <v>0</v>
      </c>
      <c r="AA468" s="81"/>
      <c r="AB468" s="81"/>
      <c r="AC468" s="81"/>
      <c r="AD468" s="81"/>
      <c r="AE468" s="83"/>
      <c r="AF468" s="83"/>
      <c r="AG468" s="83"/>
      <c r="AH468" s="83"/>
      <c r="AI468" s="81"/>
      <c r="AJ468" s="81"/>
      <c r="AK468" s="81"/>
      <c r="AL468" s="81"/>
      <c r="AM468" s="81"/>
      <c r="AN468" s="81"/>
      <c r="AO468" s="81"/>
      <c r="AP468" s="81"/>
      <c r="AQ468" s="81"/>
      <c r="AR468" s="81"/>
      <c r="AS468" s="81"/>
      <c r="AT468" s="81"/>
      <c r="AU468" s="81"/>
      <c r="AV468" s="81"/>
      <c r="AW468" s="81"/>
      <c r="AX468" s="81"/>
      <c r="AY468" s="81"/>
      <c r="AZ468" s="81"/>
      <c r="BA468" s="81"/>
      <c r="BB468" s="81"/>
      <c r="BC468" s="81"/>
      <c r="BD468" s="81"/>
      <c r="BE468" s="81"/>
      <c r="BF468" s="81"/>
      <c r="BG468" s="81"/>
      <c r="BH468" s="81"/>
      <c r="BI468" s="81"/>
      <c r="BJ468" s="81"/>
      <c r="BK468" s="82">
        <v>0</v>
      </c>
      <c r="BL468" s="82">
        <v>0</v>
      </c>
      <c r="BM468" s="82">
        <v>0</v>
      </c>
      <c r="BN468" s="81">
        <f>IF(O468-BK468&gt;0,O468-BK468,0)</f>
        <v>0</v>
      </c>
      <c r="BO468" s="75">
        <f>IF(Q468-BM468&gt;0,Q468-BM468,0)</f>
        <v>0</v>
      </c>
      <c r="BP468" s="81">
        <f>IF(BN468+BO468&gt;0,BN468+BO468,0)</f>
        <v>0</v>
      </c>
      <c r="BQ468" s="81">
        <f>IF(U468=0,0,U468)</f>
        <v>0</v>
      </c>
      <c r="BR468" s="81">
        <f>IF(W468=0,0,W468)</f>
        <v>0</v>
      </c>
      <c r="BS468" s="81">
        <f>IF(BQ468+BR468&gt;0,BQ468+BR468,0)</f>
        <v>0</v>
      </c>
      <c r="BT468" s="81">
        <f>IF(V468&gt;0,V468,0)</f>
        <v>0</v>
      </c>
      <c r="BU468" s="81">
        <f>IF(BP468=0,0,BP468)</f>
        <v>0</v>
      </c>
      <c r="BV468" s="81">
        <f>IF(BS468=0,0,BS468)</f>
        <v>0</v>
      </c>
      <c r="BW468" s="81">
        <f>IF(BP468+BT468+BV468&gt;0,BP468+BT468+BV468,0)</f>
        <v>0</v>
      </c>
      <c r="BX468" s="1"/>
      <c r="BY468" s="1"/>
      <c r="BZ468" s="1"/>
      <c r="CA468" s="1"/>
      <c r="CB468" s="1"/>
      <c r="CC468" s="1"/>
      <c r="CD468" s="1"/>
      <c r="CE468" s="1"/>
      <c r="CF468" s="1"/>
      <c r="CG468" s="1"/>
    </row>
    <row r="469" spans="1:85" ht="15.75" customHeight="1">
      <c r="A469" s="270"/>
      <c r="B469" s="271"/>
      <c r="C469" s="272"/>
      <c r="D469" s="112" t="s">
        <v>344</v>
      </c>
      <c r="E469" s="58">
        <f t="shared" ref="E469:H469" si="2155">E470</f>
        <v>2144.33</v>
      </c>
      <c r="F469" s="59">
        <f t="shared" si="2155"/>
        <v>0</v>
      </c>
      <c r="G469" s="59">
        <f t="shared" si="2155"/>
        <v>2144.33</v>
      </c>
      <c r="H469" s="59">
        <f t="shared" si="2155"/>
        <v>0</v>
      </c>
      <c r="I469" s="60">
        <f t="shared" si="1737"/>
        <v>0</v>
      </c>
      <c r="J469" s="60">
        <f t="shared" si="1738"/>
        <v>0</v>
      </c>
      <c r="K469" s="59">
        <f t="shared" ref="K469:W469" si="2156">K470</f>
        <v>0</v>
      </c>
      <c r="L469" s="59">
        <f t="shared" si="2156"/>
        <v>0</v>
      </c>
      <c r="M469" s="59">
        <f t="shared" si="2156"/>
        <v>0</v>
      </c>
      <c r="N469" s="59">
        <f t="shared" si="2156"/>
        <v>0</v>
      </c>
      <c r="O469" s="59">
        <f t="shared" si="2156"/>
        <v>0</v>
      </c>
      <c r="P469" s="59">
        <f t="shared" si="2156"/>
        <v>0</v>
      </c>
      <c r="Q469" s="59">
        <f t="shared" si="2156"/>
        <v>0</v>
      </c>
      <c r="R469" s="59">
        <f t="shared" si="2156"/>
        <v>0</v>
      </c>
      <c r="S469" s="59">
        <f t="shared" si="2156"/>
        <v>0</v>
      </c>
      <c r="T469" s="59">
        <f t="shared" si="2156"/>
        <v>0</v>
      </c>
      <c r="U469" s="59">
        <f t="shared" si="2156"/>
        <v>0</v>
      </c>
      <c r="V469" s="59">
        <f t="shared" si="2156"/>
        <v>0</v>
      </c>
      <c r="W469" s="59">
        <f t="shared" si="2156"/>
        <v>0</v>
      </c>
      <c r="X469" s="63">
        <f t="shared" ref="X469:Y469" si="2157">IF(O469&gt;0,O469/K469,0)</f>
        <v>0</v>
      </c>
      <c r="Y469" s="63">
        <f t="shared" si="2157"/>
        <v>0</v>
      </c>
      <c r="Z469" s="63">
        <f t="shared" si="1518"/>
        <v>0</v>
      </c>
      <c r="AA469" s="59">
        <f t="shared" ref="AA469:BW469" si="2158">AA470</f>
        <v>0</v>
      </c>
      <c r="AB469" s="59">
        <f t="shared" si="2158"/>
        <v>0</v>
      </c>
      <c r="AC469" s="59">
        <f t="shared" si="2158"/>
        <v>0</v>
      </c>
      <c r="AD469" s="59">
        <f t="shared" si="2158"/>
        <v>0</v>
      </c>
      <c r="AE469" s="59">
        <f t="shared" si="2158"/>
        <v>0</v>
      </c>
      <c r="AF469" s="59">
        <f t="shared" si="2158"/>
        <v>0</v>
      </c>
      <c r="AG469" s="59">
        <f t="shared" si="2158"/>
        <v>0</v>
      </c>
      <c r="AH469" s="59">
        <f t="shared" si="2158"/>
        <v>0</v>
      </c>
      <c r="AI469" s="59">
        <f t="shared" si="2158"/>
        <v>0</v>
      </c>
      <c r="AJ469" s="59">
        <f t="shared" si="2158"/>
        <v>0</v>
      </c>
      <c r="AK469" s="59">
        <f t="shared" si="2158"/>
        <v>0</v>
      </c>
      <c r="AL469" s="59">
        <f t="shared" si="2158"/>
        <v>0</v>
      </c>
      <c r="AM469" s="59">
        <f t="shared" si="2158"/>
        <v>0</v>
      </c>
      <c r="AN469" s="59">
        <f t="shared" si="2158"/>
        <v>0</v>
      </c>
      <c r="AO469" s="59">
        <f t="shared" si="2158"/>
        <v>0</v>
      </c>
      <c r="AP469" s="59">
        <f t="shared" si="2158"/>
        <v>0</v>
      </c>
      <c r="AQ469" s="59">
        <f t="shared" si="2158"/>
        <v>0</v>
      </c>
      <c r="AR469" s="59">
        <f t="shared" si="2158"/>
        <v>0</v>
      </c>
      <c r="AS469" s="59">
        <f t="shared" si="2158"/>
        <v>0</v>
      </c>
      <c r="AT469" s="59">
        <f t="shared" si="2158"/>
        <v>0</v>
      </c>
      <c r="AU469" s="59">
        <f t="shared" si="2158"/>
        <v>0</v>
      </c>
      <c r="AV469" s="59">
        <f t="shared" si="2158"/>
        <v>0</v>
      </c>
      <c r="AW469" s="59">
        <f t="shared" si="2158"/>
        <v>0</v>
      </c>
      <c r="AX469" s="59">
        <f t="shared" si="2158"/>
        <v>0</v>
      </c>
      <c r="AY469" s="59">
        <f t="shared" si="2158"/>
        <v>0</v>
      </c>
      <c r="AZ469" s="59">
        <f t="shared" si="2158"/>
        <v>0</v>
      </c>
      <c r="BA469" s="59">
        <f t="shared" si="2158"/>
        <v>0</v>
      </c>
      <c r="BB469" s="59">
        <f t="shared" si="2158"/>
        <v>0</v>
      </c>
      <c r="BC469" s="59">
        <f t="shared" si="2158"/>
        <v>0</v>
      </c>
      <c r="BD469" s="59">
        <f t="shared" si="2158"/>
        <v>0</v>
      </c>
      <c r="BE469" s="59">
        <f t="shared" si="2158"/>
        <v>0</v>
      </c>
      <c r="BF469" s="59">
        <f t="shared" si="2158"/>
        <v>0</v>
      </c>
      <c r="BG469" s="59">
        <f t="shared" si="2158"/>
        <v>0</v>
      </c>
      <c r="BH469" s="59">
        <f t="shared" si="2158"/>
        <v>0</v>
      </c>
      <c r="BI469" s="59">
        <f t="shared" si="2158"/>
        <v>0</v>
      </c>
      <c r="BJ469" s="59">
        <f t="shared" si="2158"/>
        <v>0</v>
      </c>
      <c r="BK469" s="59">
        <f t="shared" si="2158"/>
        <v>0</v>
      </c>
      <c r="BL469" s="59">
        <f t="shared" si="2158"/>
        <v>0</v>
      </c>
      <c r="BM469" s="59">
        <f t="shared" si="2158"/>
        <v>0</v>
      </c>
      <c r="BN469" s="59">
        <f t="shared" si="2158"/>
        <v>0</v>
      </c>
      <c r="BO469" s="59">
        <f t="shared" si="2158"/>
        <v>0</v>
      </c>
      <c r="BP469" s="59">
        <f t="shared" si="2158"/>
        <v>0</v>
      </c>
      <c r="BQ469" s="59">
        <f t="shared" si="2158"/>
        <v>0</v>
      </c>
      <c r="BR469" s="59">
        <f t="shared" si="2158"/>
        <v>0</v>
      </c>
      <c r="BS469" s="59">
        <f t="shared" si="2158"/>
        <v>0</v>
      </c>
      <c r="BT469" s="59">
        <f t="shared" si="2158"/>
        <v>0</v>
      </c>
      <c r="BU469" s="59">
        <f t="shared" si="2158"/>
        <v>0</v>
      </c>
      <c r="BV469" s="59">
        <f t="shared" si="2158"/>
        <v>0</v>
      </c>
      <c r="BW469" s="59">
        <f t="shared" si="2158"/>
        <v>0</v>
      </c>
      <c r="BX469" s="1"/>
      <c r="BY469" s="1"/>
      <c r="BZ469" s="1"/>
      <c r="CA469" s="1"/>
      <c r="CB469" s="1"/>
      <c r="CC469" s="1"/>
      <c r="CD469" s="1"/>
      <c r="CE469" s="1"/>
      <c r="CF469" s="1"/>
      <c r="CG469" s="1"/>
    </row>
    <row r="470" spans="1:85" ht="15.75" customHeight="1">
      <c r="A470" s="108"/>
      <c r="B470" s="90"/>
      <c r="C470" s="91" t="s">
        <v>455</v>
      </c>
      <c r="D470" s="179" t="s">
        <v>799</v>
      </c>
      <c r="E470" s="163">
        <v>2144.33</v>
      </c>
      <c r="F470" s="164"/>
      <c r="G470" s="71">
        <f>E470-F470</f>
        <v>2144.33</v>
      </c>
      <c r="H470" s="70"/>
      <c r="I470" s="72">
        <f t="shared" si="1737"/>
        <v>0</v>
      </c>
      <c r="J470" s="72">
        <f t="shared" si="1738"/>
        <v>0</v>
      </c>
      <c r="K470" s="88"/>
      <c r="L470" s="74"/>
      <c r="M470" s="81"/>
      <c r="N470" s="107"/>
      <c r="O470" s="77">
        <f t="shared" ref="O470:Q470" si="2159">AA470+AD470+AG470+AJ470+AM470+AP470+AS470+AV470+AY470+BB470+BE470+BH470</f>
        <v>0</v>
      </c>
      <c r="P470" s="77">
        <f t="shared" si="2159"/>
        <v>0</v>
      </c>
      <c r="Q470" s="77">
        <f t="shared" si="2159"/>
        <v>0</v>
      </c>
      <c r="R470" s="77">
        <f t="shared" ref="R470:T470" si="2160">IF(BK470=0,SUM(AA470+AD470+AG470+AJ470+AM470+AP470+AS470+AV470+AY470+BB470+BE470+BH470),BK470)</f>
        <v>0</v>
      </c>
      <c r="S470" s="77">
        <f t="shared" si="2160"/>
        <v>0</v>
      </c>
      <c r="T470" s="77">
        <f t="shared" si="2160"/>
        <v>0</v>
      </c>
      <c r="U470" s="79">
        <f>K470-O470</f>
        <v>0</v>
      </c>
      <c r="V470" s="79">
        <f>L470-M470-S470</f>
        <v>0</v>
      </c>
      <c r="W470" s="79">
        <f>N470-Q470</f>
        <v>0</v>
      </c>
      <c r="X470" s="80">
        <f t="shared" ref="X470:Y470" si="2161">IF(O470&gt;0,O470/K470,0)</f>
        <v>0</v>
      </c>
      <c r="Y470" s="80">
        <f t="shared" si="2161"/>
        <v>0</v>
      </c>
      <c r="Z470" s="80">
        <f t="shared" si="1518"/>
        <v>0</v>
      </c>
      <c r="AA470" s="81"/>
      <c r="AB470" s="81"/>
      <c r="AC470" s="81"/>
      <c r="AD470" s="81"/>
      <c r="AE470" s="83"/>
      <c r="AF470" s="83"/>
      <c r="AG470" s="83"/>
      <c r="AH470" s="83"/>
      <c r="AI470" s="81"/>
      <c r="AJ470" s="81"/>
      <c r="AK470" s="81"/>
      <c r="AL470" s="81"/>
      <c r="AM470" s="81"/>
      <c r="AN470" s="81"/>
      <c r="AO470" s="81"/>
      <c r="AP470" s="81"/>
      <c r="AQ470" s="81"/>
      <c r="AR470" s="81"/>
      <c r="AS470" s="81"/>
      <c r="AT470" s="81"/>
      <c r="AU470" s="81"/>
      <c r="AV470" s="81"/>
      <c r="AW470" s="81"/>
      <c r="AX470" s="81"/>
      <c r="AY470" s="81"/>
      <c r="AZ470" s="81"/>
      <c r="BA470" s="81"/>
      <c r="BB470" s="81"/>
      <c r="BC470" s="81"/>
      <c r="BD470" s="81"/>
      <c r="BE470" s="81"/>
      <c r="BF470" s="81"/>
      <c r="BG470" s="81"/>
      <c r="BH470" s="81"/>
      <c r="BI470" s="81"/>
      <c r="BJ470" s="81"/>
      <c r="BK470" s="82">
        <v>0</v>
      </c>
      <c r="BL470" s="82">
        <v>0</v>
      </c>
      <c r="BM470" s="82">
        <v>0</v>
      </c>
      <c r="BN470" s="81">
        <f>IF(O470-BK470&gt;0,O470-BK470,0)</f>
        <v>0</v>
      </c>
      <c r="BO470" s="75">
        <f>IF(Q470-BM470&gt;0,Q470-BM470,0)</f>
        <v>0</v>
      </c>
      <c r="BP470" s="81">
        <f>IF(BN470+BO470&gt;0,BN470+BO470,0)</f>
        <v>0</v>
      </c>
      <c r="BQ470" s="81">
        <f>IF(U470=0,0,U470)</f>
        <v>0</v>
      </c>
      <c r="BR470" s="81">
        <f>IF(W470=0,0,W470)</f>
        <v>0</v>
      </c>
      <c r="BS470" s="81">
        <f>IF(BQ470+BR470&gt;0,BQ470+BR470,0)</f>
        <v>0</v>
      </c>
      <c r="BT470" s="81">
        <f>IF(V470&gt;0,V470,0)</f>
        <v>0</v>
      </c>
      <c r="BU470" s="81">
        <f>IF(BP470=0,0,BP470)</f>
        <v>0</v>
      </c>
      <c r="BV470" s="81">
        <f>IF(BS470=0,0,BS470)</f>
        <v>0</v>
      </c>
      <c r="BW470" s="81">
        <f>IF(BP470+BT470+BV470&gt;0,BP470+BT470+BV470,0)</f>
        <v>0</v>
      </c>
      <c r="BX470" s="1"/>
      <c r="BY470" s="1"/>
      <c r="BZ470" s="1"/>
      <c r="CA470" s="1"/>
      <c r="CB470" s="1"/>
      <c r="CC470" s="1"/>
      <c r="CD470" s="1"/>
      <c r="CE470" s="1"/>
      <c r="CF470" s="1"/>
      <c r="CG470" s="1"/>
    </row>
    <row r="471" spans="1:85" ht="15.75" customHeight="1">
      <c r="A471" s="326"/>
      <c r="B471" s="354"/>
      <c r="C471" s="328"/>
      <c r="D471" s="329" t="s">
        <v>801</v>
      </c>
      <c r="E471" s="330">
        <f t="shared" ref="E471:H471" si="2162">E472+E475+E477+E479</f>
        <v>23144.33</v>
      </c>
      <c r="F471" s="330">
        <f t="shared" si="2162"/>
        <v>2522.73</v>
      </c>
      <c r="G471" s="330">
        <f t="shared" si="2162"/>
        <v>20621.599999999999</v>
      </c>
      <c r="H471" s="330">
        <f t="shared" si="2162"/>
        <v>0</v>
      </c>
      <c r="I471" s="331">
        <f t="shared" si="1737"/>
        <v>8.728711642161617E-2</v>
      </c>
      <c r="J471" s="331">
        <f t="shared" si="1738"/>
        <v>8.728711642161617E-2</v>
      </c>
      <c r="K471" s="330">
        <f t="shared" ref="K471:W471" si="2163">K472+K475+K477+K479</f>
        <v>1800</v>
      </c>
      <c r="L471" s="330">
        <f t="shared" si="2163"/>
        <v>0</v>
      </c>
      <c r="M471" s="330">
        <f t="shared" si="2163"/>
        <v>0</v>
      </c>
      <c r="N471" s="330">
        <f t="shared" si="2163"/>
        <v>0</v>
      </c>
      <c r="O471" s="330">
        <f t="shared" si="2163"/>
        <v>1800</v>
      </c>
      <c r="P471" s="330">
        <f t="shared" si="2163"/>
        <v>0</v>
      </c>
      <c r="Q471" s="330">
        <f t="shared" si="2163"/>
        <v>0</v>
      </c>
      <c r="R471" s="330">
        <f t="shared" si="2163"/>
        <v>1800</v>
      </c>
      <c r="S471" s="330">
        <f t="shared" si="2163"/>
        <v>0</v>
      </c>
      <c r="T471" s="330">
        <f t="shared" si="2163"/>
        <v>0</v>
      </c>
      <c r="U471" s="330">
        <f t="shared" si="2163"/>
        <v>0</v>
      </c>
      <c r="V471" s="330">
        <f t="shared" si="2163"/>
        <v>0</v>
      </c>
      <c r="W471" s="330">
        <f t="shared" si="2163"/>
        <v>0</v>
      </c>
      <c r="X471" s="374">
        <f t="shared" ref="X471:Y471" si="2164">IF(O471&gt;0,O471/K471,0)</f>
        <v>1</v>
      </c>
      <c r="Y471" s="374">
        <f t="shared" si="2164"/>
        <v>0</v>
      </c>
      <c r="Z471" s="374">
        <f t="shared" si="1518"/>
        <v>0</v>
      </c>
      <c r="AA471" s="330">
        <f t="shared" ref="AA471:BW471" si="2165">AA472+AA475+AA477+AA479</f>
        <v>0</v>
      </c>
      <c r="AB471" s="330">
        <f t="shared" si="2165"/>
        <v>0</v>
      </c>
      <c r="AC471" s="330">
        <f t="shared" si="2165"/>
        <v>0</v>
      </c>
      <c r="AD471" s="330">
        <f t="shared" si="2165"/>
        <v>0</v>
      </c>
      <c r="AE471" s="330">
        <f t="shared" si="2165"/>
        <v>0</v>
      </c>
      <c r="AF471" s="330">
        <f t="shared" si="2165"/>
        <v>0</v>
      </c>
      <c r="AG471" s="330">
        <f t="shared" si="2165"/>
        <v>0</v>
      </c>
      <c r="AH471" s="330">
        <f t="shared" si="2165"/>
        <v>0</v>
      </c>
      <c r="AI471" s="330">
        <f t="shared" si="2165"/>
        <v>0</v>
      </c>
      <c r="AJ471" s="330">
        <f t="shared" si="2165"/>
        <v>0</v>
      </c>
      <c r="AK471" s="330">
        <f t="shared" si="2165"/>
        <v>0</v>
      </c>
      <c r="AL471" s="330">
        <f t="shared" si="2165"/>
        <v>0</v>
      </c>
      <c r="AM471" s="330">
        <f t="shared" si="2165"/>
        <v>0</v>
      </c>
      <c r="AN471" s="330">
        <f t="shared" si="2165"/>
        <v>0</v>
      </c>
      <c r="AO471" s="330">
        <f t="shared" si="2165"/>
        <v>0</v>
      </c>
      <c r="AP471" s="330">
        <f t="shared" si="2165"/>
        <v>0</v>
      </c>
      <c r="AQ471" s="330">
        <f t="shared" si="2165"/>
        <v>0</v>
      </c>
      <c r="AR471" s="330">
        <f t="shared" si="2165"/>
        <v>0</v>
      </c>
      <c r="AS471" s="330">
        <f t="shared" si="2165"/>
        <v>0</v>
      </c>
      <c r="AT471" s="330">
        <f t="shared" si="2165"/>
        <v>0</v>
      </c>
      <c r="AU471" s="330">
        <f t="shared" si="2165"/>
        <v>0</v>
      </c>
      <c r="AV471" s="330">
        <f t="shared" si="2165"/>
        <v>0</v>
      </c>
      <c r="AW471" s="330">
        <f t="shared" si="2165"/>
        <v>0</v>
      </c>
      <c r="AX471" s="330">
        <f t="shared" si="2165"/>
        <v>0</v>
      </c>
      <c r="AY471" s="330">
        <f t="shared" si="2165"/>
        <v>0</v>
      </c>
      <c r="AZ471" s="330">
        <f t="shared" si="2165"/>
        <v>0</v>
      </c>
      <c r="BA471" s="330">
        <f t="shared" si="2165"/>
        <v>0</v>
      </c>
      <c r="BB471" s="330">
        <f t="shared" si="2165"/>
        <v>0</v>
      </c>
      <c r="BC471" s="330">
        <f t="shared" si="2165"/>
        <v>0</v>
      </c>
      <c r="BD471" s="330">
        <f t="shared" si="2165"/>
        <v>0</v>
      </c>
      <c r="BE471" s="330">
        <f t="shared" si="2165"/>
        <v>1800</v>
      </c>
      <c r="BF471" s="330">
        <f t="shared" si="2165"/>
        <v>0</v>
      </c>
      <c r="BG471" s="330">
        <f t="shared" si="2165"/>
        <v>0</v>
      </c>
      <c r="BH471" s="330">
        <f t="shared" si="2165"/>
        <v>0</v>
      </c>
      <c r="BI471" s="330">
        <f t="shared" si="2165"/>
        <v>0</v>
      </c>
      <c r="BJ471" s="330">
        <f t="shared" si="2165"/>
        <v>0</v>
      </c>
      <c r="BK471" s="330">
        <f t="shared" si="2165"/>
        <v>1800</v>
      </c>
      <c r="BL471" s="330">
        <f t="shared" si="2165"/>
        <v>0</v>
      </c>
      <c r="BM471" s="330">
        <f t="shared" si="2165"/>
        <v>0</v>
      </c>
      <c r="BN471" s="330">
        <f t="shared" si="2165"/>
        <v>0</v>
      </c>
      <c r="BO471" s="330">
        <f t="shared" si="2165"/>
        <v>0</v>
      </c>
      <c r="BP471" s="330">
        <f t="shared" si="2165"/>
        <v>0</v>
      </c>
      <c r="BQ471" s="330">
        <f t="shared" si="2165"/>
        <v>0</v>
      </c>
      <c r="BR471" s="330">
        <f t="shared" si="2165"/>
        <v>0</v>
      </c>
      <c r="BS471" s="330">
        <f t="shared" si="2165"/>
        <v>0</v>
      </c>
      <c r="BT471" s="330">
        <f t="shared" si="2165"/>
        <v>0</v>
      </c>
      <c r="BU471" s="330">
        <f t="shared" si="2165"/>
        <v>0</v>
      </c>
      <c r="BV471" s="330">
        <f t="shared" si="2165"/>
        <v>0</v>
      </c>
      <c r="BW471" s="330">
        <f t="shared" si="2165"/>
        <v>0</v>
      </c>
      <c r="BX471" s="1"/>
      <c r="BY471" s="1"/>
      <c r="BZ471" s="1"/>
      <c r="CA471" s="1"/>
      <c r="CB471" s="1"/>
      <c r="CC471" s="1"/>
      <c r="CD471" s="1"/>
      <c r="CE471" s="1"/>
      <c r="CF471" s="1"/>
      <c r="CG471" s="1"/>
    </row>
    <row r="472" spans="1:85" ht="15.75">
      <c r="A472" s="355"/>
      <c r="B472" s="356"/>
      <c r="C472" s="357"/>
      <c r="D472" s="57" t="s">
        <v>116</v>
      </c>
      <c r="E472" s="286">
        <f t="shared" ref="E472:H472" si="2166">SUM(E473:E474)</f>
        <v>8000</v>
      </c>
      <c r="F472" s="362">
        <f t="shared" si="2166"/>
        <v>0</v>
      </c>
      <c r="G472" s="362">
        <f t="shared" si="2166"/>
        <v>8000</v>
      </c>
      <c r="H472" s="362">
        <f t="shared" si="2166"/>
        <v>0</v>
      </c>
      <c r="I472" s="287">
        <f t="shared" si="1737"/>
        <v>0</v>
      </c>
      <c r="J472" s="287">
        <f t="shared" si="1738"/>
        <v>0</v>
      </c>
      <c r="K472" s="362">
        <f t="shared" ref="K472:W472" si="2167">SUM(K473:K474)</f>
        <v>0</v>
      </c>
      <c r="L472" s="362">
        <f t="shared" si="2167"/>
        <v>0</v>
      </c>
      <c r="M472" s="362">
        <f t="shared" si="2167"/>
        <v>0</v>
      </c>
      <c r="N472" s="362">
        <f t="shared" si="2167"/>
        <v>0</v>
      </c>
      <c r="O472" s="362">
        <f t="shared" si="2167"/>
        <v>0</v>
      </c>
      <c r="P472" s="362">
        <f t="shared" si="2167"/>
        <v>0</v>
      </c>
      <c r="Q472" s="362">
        <f t="shared" si="2167"/>
        <v>0</v>
      </c>
      <c r="R472" s="362">
        <f t="shared" si="2167"/>
        <v>0</v>
      </c>
      <c r="S472" s="362">
        <f t="shared" si="2167"/>
        <v>0</v>
      </c>
      <c r="T472" s="362">
        <f t="shared" si="2167"/>
        <v>0</v>
      </c>
      <c r="U472" s="362">
        <f t="shared" si="2167"/>
        <v>0</v>
      </c>
      <c r="V472" s="362">
        <f t="shared" si="2167"/>
        <v>0</v>
      </c>
      <c r="W472" s="362">
        <f t="shared" si="2167"/>
        <v>0</v>
      </c>
      <c r="X472" s="288">
        <f t="shared" ref="X472:Y472" si="2168">IF(O472&gt;0,O472/K472,0)</f>
        <v>0</v>
      </c>
      <c r="Y472" s="288">
        <f t="shared" si="2168"/>
        <v>0</v>
      </c>
      <c r="Z472" s="288">
        <f t="shared" si="1518"/>
        <v>0</v>
      </c>
      <c r="AA472" s="362">
        <f t="shared" ref="AA472:BW472" si="2169">SUM(AA473:AA474)</f>
        <v>0</v>
      </c>
      <c r="AB472" s="362">
        <f t="shared" si="2169"/>
        <v>0</v>
      </c>
      <c r="AC472" s="362">
        <f t="shared" si="2169"/>
        <v>0</v>
      </c>
      <c r="AD472" s="362">
        <f t="shared" si="2169"/>
        <v>0</v>
      </c>
      <c r="AE472" s="362">
        <f t="shared" si="2169"/>
        <v>0</v>
      </c>
      <c r="AF472" s="362">
        <f t="shared" si="2169"/>
        <v>0</v>
      </c>
      <c r="AG472" s="362">
        <f t="shared" si="2169"/>
        <v>0</v>
      </c>
      <c r="AH472" s="362">
        <f t="shared" si="2169"/>
        <v>0</v>
      </c>
      <c r="AI472" s="362">
        <f t="shared" si="2169"/>
        <v>0</v>
      </c>
      <c r="AJ472" s="362">
        <f t="shared" si="2169"/>
        <v>0</v>
      </c>
      <c r="AK472" s="362">
        <f t="shared" si="2169"/>
        <v>0</v>
      </c>
      <c r="AL472" s="362">
        <f t="shared" si="2169"/>
        <v>0</v>
      </c>
      <c r="AM472" s="362">
        <f t="shared" si="2169"/>
        <v>0</v>
      </c>
      <c r="AN472" s="362">
        <f t="shared" si="2169"/>
        <v>0</v>
      </c>
      <c r="AO472" s="362">
        <f t="shared" si="2169"/>
        <v>0</v>
      </c>
      <c r="AP472" s="362">
        <f t="shared" si="2169"/>
        <v>0</v>
      </c>
      <c r="AQ472" s="362">
        <f t="shared" si="2169"/>
        <v>0</v>
      </c>
      <c r="AR472" s="362">
        <f t="shared" si="2169"/>
        <v>0</v>
      </c>
      <c r="AS472" s="362">
        <f t="shared" si="2169"/>
        <v>0</v>
      </c>
      <c r="AT472" s="362">
        <f t="shared" si="2169"/>
        <v>0</v>
      </c>
      <c r="AU472" s="362">
        <f t="shared" si="2169"/>
        <v>0</v>
      </c>
      <c r="AV472" s="362">
        <f t="shared" si="2169"/>
        <v>0</v>
      </c>
      <c r="AW472" s="362">
        <f t="shared" si="2169"/>
        <v>0</v>
      </c>
      <c r="AX472" s="362">
        <f t="shared" si="2169"/>
        <v>0</v>
      </c>
      <c r="AY472" s="362">
        <f t="shared" si="2169"/>
        <v>0</v>
      </c>
      <c r="AZ472" s="362">
        <f t="shared" si="2169"/>
        <v>0</v>
      </c>
      <c r="BA472" s="362">
        <f t="shared" si="2169"/>
        <v>0</v>
      </c>
      <c r="BB472" s="362">
        <f t="shared" si="2169"/>
        <v>0</v>
      </c>
      <c r="BC472" s="362">
        <f t="shared" si="2169"/>
        <v>0</v>
      </c>
      <c r="BD472" s="362">
        <f t="shared" si="2169"/>
        <v>0</v>
      </c>
      <c r="BE472" s="362">
        <f t="shared" si="2169"/>
        <v>0</v>
      </c>
      <c r="BF472" s="362">
        <f t="shared" si="2169"/>
        <v>0</v>
      </c>
      <c r="BG472" s="362">
        <f t="shared" si="2169"/>
        <v>0</v>
      </c>
      <c r="BH472" s="362">
        <f t="shared" si="2169"/>
        <v>0</v>
      </c>
      <c r="BI472" s="362">
        <f t="shared" si="2169"/>
        <v>0</v>
      </c>
      <c r="BJ472" s="362">
        <f t="shared" si="2169"/>
        <v>0</v>
      </c>
      <c r="BK472" s="362">
        <f t="shared" si="2169"/>
        <v>0</v>
      </c>
      <c r="BL472" s="362">
        <f t="shared" si="2169"/>
        <v>0</v>
      </c>
      <c r="BM472" s="362">
        <f t="shared" si="2169"/>
        <v>0</v>
      </c>
      <c r="BN472" s="362">
        <f t="shared" si="2169"/>
        <v>0</v>
      </c>
      <c r="BO472" s="362">
        <f t="shared" si="2169"/>
        <v>0</v>
      </c>
      <c r="BP472" s="362">
        <f t="shared" si="2169"/>
        <v>0</v>
      </c>
      <c r="BQ472" s="362">
        <f t="shared" si="2169"/>
        <v>0</v>
      </c>
      <c r="BR472" s="362">
        <f t="shared" si="2169"/>
        <v>0</v>
      </c>
      <c r="BS472" s="362">
        <f t="shared" si="2169"/>
        <v>0</v>
      </c>
      <c r="BT472" s="362">
        <f t="shared" si="2169"/>
        <v>0</v>
      </c>
      <c r="BU472" s="362">
        <f t="shared" si="2169"/>
        <v>0</v>
      </c>
      <c r="BV472" s="362">
        <f t="shared" si="2169"/>
        <v>0</v>
      </c>
      <c r="BW472" s="362">
        <f t="shared" si="2169"/>
        <v>0</v>
      </c>
      <c r="BX472" s="1"/>
      <c r="BY472" s="1"/>
      <c r="BZ472" s="1"/>
      <c r="CA472" s="1"/>
      <c r="CB472" s="1"/>
      <c r="CC472" s="1"/>
      <c r="CD472" s="1"/>
      <c r="CE472" s="1"/>
      <c r="CF472" s="1"/>
      <c r="CG472" s="1"/>
    </row>
    <row r="473" spans="1:85" ht="15.75" customHeight="1">
      <c r="A473" s="84"/>
      <c r="B473" s="115"/>
      <c r="C473" s="86" t="s">
        <v>118</v>
      </c>
      <c r="D473" s="87" t="s">
        <v>119</v>
      </c>
      <c r="E473" s="70">
        <v>2000</v>
      </c>
      <c r="F473" s="93">
        <v>0</v>
      </c>
      <c r="G473" s="71">
        <f t="shared" ref="G473:G474" si="2170">E473-F473</f>
        <v>2000</v>
      </c>
      <c r="H473" s="70"/>
      <c r="I473" s="72">
        <f t="shared" si="1737"/>
        <v>0</v>
      </c>
      <c r="J473" s="72">
        <f t="shared" si="1738"/>
        <v>0</v>
      </c>
      <c r="K473" s="88"/>
      <c r="L473" s="74"/>
      <c r="M473" s="81"/>
      <c r="N473" s="107"/>
      <c r="O473" s="77">
        <f t="shared" ref="O473:Q473" si="2171">AA473+AD473+AG473+AJ473+AM473+AP473+AS473+AV473+AY473+BB473+BE473+BH473</f>
        <v>0</v>
      </c>
      <c r="P473" s="77">
        <f t="shared" si="2171"/>
        <v>0</v>
      </c>
      <c r="Q473" s="77">
        <f t="shared" si="2171"/>
        <v>0</v>
      </c>
      <c r="R473" s="77">
        <f t="shared" ref="R473:T473" si="2172">IF(BK473=0,SUM(AA473+AD473+AG473+AJ473+AM473+AP473+AS473+AV473+AY473+BB473+BE473+BH473),BK473)</f>
        <v>0</v>
      </c>
      <c r="S473" s="77">
        <f t="shared" si="2172"/>
        <v>0</v>
      </c>
      <c r="T473" s="77">
        <f t="shared" si="2172"/>
        <v>0</v>
      </c>
      <c r="U473" s="79">
        <f t="shared" ref="U473:U474" si="2173">K473-O473</f>
        <v>0</v>
      </c>
      <c r="V473" s="79">
        <f t="shared" ref="V473:V474" si="2174">L473-M473-S473</f>
        <v>0</v>
      </c>
      <c r="W473" s="79">
        <f t="shared" ref="W473:W474" si="2175">N473-Q473</f>
        <v>0</v>
      </c>
      <c r="X473" s="80">
        <f t="shared" ref="X473:Y473" si="2176">IF(O473&gt;0,O473/K473,0)</f>
        <v>0</v>
      </c>
      <c r="Y473" s="80">
        <f t="shared" si="2176"/>
        <v>0</v>
      </c>
      <c r="Z473" s="80">
        <f t="shared" si="1518"/>
        <v>0</v>
      </c>
      <c r="AA473" s="81"/>
      <c r="AB473" s="81"/>
      <c r="AC473" s="81"/>
      <c r="AD473" s="81"/>
      <c r="AE473" s="83"/>
      <c r="AF473" s="83"/>
      <c r="AG473" s="83"/>
      <c r="AH473" s="83"/>
      <c r="AI473" s="81"/>
      <c r="AJ473" s="81"/>
      <c r="AK473" s="81"/>
      <c r="AL473" s="81"/>
      <c r="AM473" s="81"/>
      <c r="AN473" s="81"/>
      <c r="AO473" s="81"/>
      <c r="AP473" s="81"/>
      <c r="AQ473" s="81"/>
      <c r="AR473" s="81"/>
      <c r="AS473" s="81"/>
      <c r="AT473" s="81"/>
      <c r="AU473" s="81"/>
      <c r="AV473" s="81"/>
      <c r="AW473" s="81"/>
      <c r="AX473" s="81"/>
      <c r="AY473" s="81"/>
      <c r="AZ473" s="81"/>
      <c r="BA473" s="81"/>
      <c r="BB473" s="81"/>
      <c r="BC473" s="81"/>
      <c r="BD473" s="81"/>
      <c r="BE473" s="81"/>
      <c r="BF473" s="81"/>
      <c r="BG473" s="81"/>
      <c r="BH473" s="81"/>
      <c r="BI473" s="81"/>
      <c r="BJ473" s="81"/>
      <c r="BK473" s="82">
        <v>0</v>
      </c>
      <c r="BL473" s="82">
        <v>0</v>
      </c>
      <c r="BM473" s="82">
        <v>0</v>
      </c>
      <c r="BN473" s="81">
        <f t="shared" ref="BN473:BN474" si="2177">IF(O473-BK473&gt;0,O473-BK473,0)</f>
        <v>0</v>
      </c>
      <c r="BO473" s="75">
        <f t="shared" ref="BO473:BO474" si="2178">IF(Q473-BM473&gt;0,Q473-BM473,0)</f>
        <v>0</v>
      </c>
      <c r="BP473" s="81">
        <f t="shared" ref="BP473:BP474" si="2179">IF(BN473+BO473&gt;0,BN473+BO473,0)</f>
        <v>0</v>
      </c>
      <c r="BQ473" s="81">
        <f t="shared" ref="BQ473:BQ474" si="2180">IF(U473=0,0,U473)</f>
        <v>0</v>
      </c>
      <c r="BR473" s="81">
        <f t="shared" ref="BR473:BR474" si="2181">IF(W473=0,0,W473)</f>
        <v>0</v>
      </c>
      <c r="BS473" s="81">
        <f t="shared" ref="BS473:BS474" si="2182">IF(BQ473+BR473&gt;0,BQ473+BR473,0)</f>
        <v>0</v>
      </c>
      <c r="BT473" s="81">
        <f t="shared" ref="BT473:BT474" si="2183">IF(V473&gt;0,V473,0)</f>
        <v>0</v>
      </c>
      <c r="BU473" s="81">
        <f t="shared" ref="BU473:BU474" si="2184">IF(BP473=0,0,BP473)</f>
        <v>0</v>
      </c>
      <c r="BV473" s="81">
        <f t="shared" ref="BV473:BV474" si="2185">IF(BS473=0,0,BS473)</f>
        <v>0</v>
      </c>
      <c r="BW473" s="81">
        <f t="shared" ref="BW473:BW474" si="2186">IF(BP473+BT473+BV473&gt;0,BP473+BT473+BV473,0)</f>
        <v>0</v>
      </c>
      <c r="BX473" s="1"/>
      <c r="BY473" s="1"/>
      <c r="BZ473" s="1"/>
      <c r="CA473" s="1"/>
      <c r="CB473" s="1"/>
      <c r="CC473" s="1"/>
      <c r="CD473" s="1"/>
      <c r="CE473" s="1"/>
      <c r="CF473" s="1"/>
      <c r="CG473" s="1"/>
    </row>
    <row r="474" spans="1:85" ht="15.75" customHeight="1">
      <c r="A474" s="84"/>
      <c r="B474" s="115"/>
      <c r="C474" s="86" t="s">
        <v>123</v>
      </c>
      <c r="D474" s="87" t="s">
        <v>124</v>
      </c>
      <c r="E474" s="70">
        <v>6000</v>
      </c>
      <c r="F474" s="164"/>
      <c r="G474" s="71">
        <f t="shared" si="2170"/>
        <v>6000</v>
      </c>
      <c r="H474" s="70"/>
      <c r="I474" s="72">
        <f t="shared" si="1737"/>
        <v>0</v>
      </c>
      <c r="J474" s="72">
        <f t="shared" si="1738"/>
        <v>0</v>
      </c>
      <c r="K474" s="88"/>
      <c r="L474" s="74"/>
      <c r="M474" s="81"/>
      <c r="N474" s="107"/>
      <c r="O474" s="77">
        <f t="shared" ref="O474:Q474" si="2187">AA474+AD474+AG474+AJ474+AM474+AP474+AS474+AV474+AY474+BB474+BE474+BH474</f>
        <v>0</v>
      </c>
      <c r="P474" s="77">
        <f t="shared" si="2187"/>
        <v>0</v>
      </c>
      <c r="Q474" s="77">
        <f t="shared" si="2187"/>
        <v>0</v>
      </c>
      <c r="R474" s="77">
        <f t="shared" ref="R474:T474" si="2188">IF(BK474=0,SUM(AA474+AD474+AG474+AJ474+AM474+AP474+AS474+AV474+AY474+BB474+BE474+BH474),BK474)</f>
        <v>0</v>
      </c>
      <c r="S474" s="77">
        <f t="shared" si="2188"/>
        <v>0</v>
      </c>
      <c r="T474" s="77">
        <f t="shared" si="2188"/>
        <v>0</v>
      </c>
      <c r="U474" s="79">
        <f t="shared" si="2173"/>
        <v>0</v>
      </c>
      <c r="V474" s="79">
        <f t="shared" si="2174"/>
        <v>0</v>
      </c>
      <c r="W474" s="79">
        <f t="shared" si="2175"/>
        <v>0</v>
      </c>
      <c r="X474" s="80">
        <f t="shared" ref="X474:Y474" si="2189">IF(O474&gt;0,O474/K474,0)</f>
        <v>0</v>
      </c>
      <c r="Y474" s="80">
        <f t="shared" si="2189"/>
        <v>0</v>
      </c>
      <c r="Z474" s="80">
        <f t="shared" si="1518"/>
        <v>0</v>
      </c>
      <c r="AA474" s="81"/>
      <c r="AB474" s="81"/>
      <c r="AC474" s="81"/>
      <c r="AD474" s="81"/>
      <c r="AE474" s="83"/>
      <c r="AF474" s="83"/>
      <c r="AG474" s="83"/>
      <c r="AH474" s="83"/>
      <c r="AI474" s="81"/>
      <c r="AJ474" s="81"/>
      <c r="AK474" s="81"/>
      <c r="AL474" s="81"/>
      <c r="AM474" s="81"/>
      <c r="AN474" s="81"/>
      <c r="AO474" s="81"/>
      <c r="AP474" s="81"/>
      <c r="AQ474" s="81"/>
      <c r="AR474" s="81"/>
      <c r="AS474" s="81"/>
      <c r="AT474" s="81"/>
      <c r="AU474" s="81"/>
      <c r="AV474" s="81"/>
      <c r="AW474" s="81"/>
      <c r="AX474" s="81"/>
      <c r="AY474" s="81"/>
      <c r="AZ474" s="81"/>
      <c r="BA474" s="81"/>
      <c r="BB474" s="81"/>
      <c r="BC474" s="81"/>
      <c r="BD474" s="81"/>
      <c r="BE474" s="81"/>
      <c r="BF474" s="81"/>
      <c r="BG474" s="81"/>
      <c r="BH474" s="81"/>
      <c r="BI474" s="81"/>
      <c r="BJ474" s="81"/>
      <c r="BK474" s="82">
        <v>0</v>
      </c>
      <c r="BL474" s="82">
        <v>0</v>
      </c>
      <c r="BM474" s="82">
        <v>0</v>
      </c>
      <c r="BN474" s="81">
        <f t="shared" si="2177"/>
        <v>0</v>
      </c>
      <c r="BO474" s="75">
        <f t="shared" si="2178"/>
        <v>0</v>
      </c>
      <c r="BP474" s="81">
        <f t="shared" si="2179"/>
        <v>0</v>
      </c>
      <c r="BQ474" s="81">
        <f t="shared" si="2180"/>
        <v>0</v>
      </c>
      <c r="BR474" s="81">
        <f t="shared" si="2181"/>
        <v>0</v>
      </c>
      <c r="BS474" s="81">
        <f t="shared" si="2182"/>
        <v>0</v>
      </c>
      <c r="BT474" s="81">
        <f t="shared" si="2183"/>
        <v>0</v>
      </c>
      <c r="BU474" s="81">
        <f t="shared" si="2184"/>
        <v>0</v>
      </c>
      <c r="BV474" s="81">
        <f t="shared" si="2185"/>
        <v>0</v>
      </c>
      <c r="BW474" s="81">
        <f t="shared" si="2186"/>
        <v>0</v>
      </c>
      <c r="BX474" s="1"/>
      <c r="BY474" s="1"/>
      <c r="BZ474" s="1"/>
      <c r="CA474" s="1"/>
      <c r="CB474" s="1"/>
      <c r="CC474" s="1"/>
      <c r="CD474" s="1"/>
      <c r="CE474" s="1"/>
      <c r="CF474" s="1"/>
      <c r="CG474" s="1"/>
    </row>
    <row r="475" spans="1:85" ht="15.75">
      <c r="A475" s="270"/>
      <c r="B475" s="271"/>
      <c r="C475" s="272"/>
      <c r="D475" s="112" t="s">
        <v>128</v>
      </c>
      <c r="E475" s="286">
        <f t="shared" ref="E475:H475" si="2190">SUM(E476)</f>
        <v>3000</v>
      </c>
      <c r="F475" s="362">
        <f t="shared" si="2190"/>
        <v>0</v>
      </c>
      <c r="G475" s="362">
        <f t="shared" si="2190"/>
        <v>3000</v>
      </c>
      <c r="H475" s="362">
        <f t="shared" si="2190"/>
        <v>0</v>
      </c>
      <c r="I475" s="287">
        <f t="shared" si="1737"/>
        <v>0</v>
      </c>
      <c r="J475" s="287">
        <f t="shared" si="1738"/>
        <v>0</v>
      </c>
      <c r="K475" s="362">
        <f t="shared" ref="K475:W475" si="2191">SUM(K476)</f>
        <v>0</v>
      </c>
      <c r="L475" s="362">
        <f t="shared" si="2191"/>
        <v>0</v>
      </c>
      <c r="M475" s="362">
        <f t="shared" si="2191"/>
        <v>0</v>
      </c>
      <c r="N475" s="362">
        <f t="shared" si="2191"/>
        <v>0</v>
      </c>
      <c r="O475" s="362">
        <f t="shared" si="2191"/>
        <v>0</v>
      </c>
      <c r="P475" s="362">
        <f t="shared" si="2191"/>
        <v>0</v>
      </c>
      <c r="Q475" s="362">
        <f t="shared" si="2191"/>
        <v>0</v>
      </c>
      <c r="R475" s="362">
        <f t="shared" si="2191"/>
        <v>0</v>
      </c>
      <c r="S475" s="362">
        <f t="shared" si="2191"/>
        <v>0</v>
      </c>
      <c r="T475" s="362">
        <f t="shared" si="2191"/>
        <v>0</v>
      </c>
      <c r="U475" s="362">
        <f t="shared" si="2191"/>
        <v>0</v>
      </c>
      <c r="V475" s="362">
        <f t="shared" si="2191"/>
        <v>0</v>
      </c>
      <c r="W475" s="362">
        <f t="shared" si="2191"/>
        <v>0</v>
      </c>
      <c r="X475" s="288">
        <f t="shared" ref="X475:Y475" si="2192">IF(O475&gt;0,O475/K475,0)</f>
        <v>0</v>
      </c>
      <c r="Y475" s="288">
        <f t="shared" si="2192"/>
        <v>0</v>
      </c>
      <c r="Z475" s="288">
        <f t="shared" si="1518"/>
        <v>0</v>
      </c>
      <c r="AA475" s="362">
        <f t="shared" ref="AA475:BW475" si="2193">SUM(AA476)</f>
        <v>0</v>
      </c>
      <c r="AB475" s="362">
        <f t="shared" si="2193"/>
        <v>0</v>
      </c>
      <c r="AC475" s="362">
        <f t="shared" si="2193"/>
        <v>0</v>
      </c>
      <c r="AD475" s="362">
        <f t="shared" si="2193"/>
        <v>0</v>
      </c>
      <c r="AE475" s="362">
        <f t="shared" si="2193"/>
        <v>0</v>
      </c>
      <c r="AF475" s="362">
        <f t="shared" si="2193"/>
        <v>0</v>
      </c>
      <c r="AG475" s="362">
        <f t="shared" si="2193"/>
        <v>0</v>
      </c>
      <c r="AH475" s="362">
        <f t="shared" si="2193"/>
        <v>0</v>
      </c>
      <c r="AI475" s="362">
        <f t="shared" si="2193"/>
        <v>0</v>
      </c>
      <c r="AJ475" s="362">
        <f t="shared" si="2193"/>
        <v>0</v>
      </c>
      <c r="AK475" s="362">
        <f t="shared" si="2193"/>
        <v>0</v>
      </c>
      <c r="AL475" s="362">
        <f t="shared" si="2193"/>
        <v>0</v>
      </c>
      <c r="AM475" s="362">
        <f t="shared" si="2193"/>
        <v>0</v>
      </c>
      <c r="AN475" s="362">
        <f t="shared" si="2193"/>
        <v>0</v>
      </c>
      <c r="AO475" s="362">
        <f t="shared" si="2193"/>
        <v>0</v>
      </c>
      <c r="AP475" s="362">
        <f t="shared" si="2193"/>
        <v>0</v>
      </c>
      <c r="AQ475" s="362">
        <f t="shared" si="2193"/>
        <v>0</v>
      </c>
      <c r="AR475" s="362">
        <f t="shared" si="2193"/>
        <v>0</v>
      </c>
      <c r="AS475" s="362">
        <f t="shared" si="2193"/>
        <v>0</v>
      </c>
      <c r="AT475" s="362">
        <f t="shared" si="2193"/>
        <v>0</v>
      </c>
      <c r="AU475" s="362">
        <f t="shared" si="2193"/>
        <v>0</v>
      </c>
      <c r="AV475" s="362">
        <f t="shared" si="2193"/>
        <v>0</v>
      </c>
      <c r="AW475" s="362">
        <f t="shared" si="2193"/>
        <v>0</v>
      </c>
      <c r="AX475" s="362">
        <f t="shared" si="2193"/>
        <v>0</v>
      </c>
      <c r="AY475" s="362">
        <f t="shared" si="2193"/>
        <v>0</v>
      </c>
      <c r="AZ475" s="362">
        <f t="shared" si="2193"/>
        <v>0</v>
      </c>
      <c r="BA475" s="362">
        <f t="shared" si="2193"/>
        <v>0</v>
      </c>
      <c r="BB475" s="362">
        <f t="shared" si="2193"/>
        <v>0</v>
      </c>
      <c r="BC475" s="362">
        <f t="shared" si="2193"/>
        <v>0</v>
      </c>
      <c r="BD475" s="362">
        <f t="shared" si="2193"/>
        <v>0</v>
      </c>
      <c r="BE475" s="362">
        <f t="shared" si="2193"/>
        <v>0</v>
      </c>
      <c r="BF475" s="362">
        <f t="shared" si="2193"/>
        <v>0</v>
      </c>
      <c r="BG475" s="362">
        <f t="shared" si="2193"/>
        <v>0</v>
      </c>
      <c r="BH475" s="362">
        <f t="shared" si="2193"/>
        <v>0</v>
      </c>
      <c r="BI475" s="362">
        <f t="shared" si="2193"/>
        <v>0</v>
      </c>
      <c r="BJ475" s="362">
        <f t="shared" si="2193"/>
        <v>0</v>
      </c>
      <c r="BK475" s="362">
        <f t="shared" si="2193"/>
        <v>0</v>
      </c>
      <c r="BL475" s="362">
        <f t="shared" si="2193"/>
        <v>0</v>
      </c>
      <c r="BM475" s="362">
        <f t="shared" si="2193"/>
        <v>0</v>
      </c>
      <c r="BN475" s="362">
        <f t="shared" si="2193"/>
        <v>0</v>
      </c>
      <c r="BO475" s="362">
        <f t="shared" si="2193"/>
        <v>0</v>
      </c>
      <c r="BP475" s="362">
        <f t="shared" si="2193"/>
        <v>0</v>
      </c>
      <c r="BQ475" s="362">
        <f t="shared" si="2193"/>
        <v>0</v>
      </c>
      <c r="BR475" s="362">
        <f t="shared" si="2193"/>
        <v>0</v>
      </c>
      <c r="BS475" s="362">
        <f t="shared" si="2193"/>
        <v>0</v>
      </c>
      <c r="BT475" s="362">
        <f t="shared" si="2193"/>
        <v>0</v>
      </c>
      <c r="BU475" s="362">
        <f t="shared" si="2193"/>
        <v>0</v>
      </c>
      <c r="BV475" s="362">
        <f t="shared" si="2193"/>
        <v>0</v>
      </c>
      <c r="BW475" s="362">
        <f t="shared" si="2193"/>
        <v>0</v>
      </c>
      <c r="BX475" s="1"/>
      <c r="BY475" s="1"/>
      <c r="BZ475" s="1"/>
      <c r="CA475" s="1"/>
      <c r="CB475" s="1"/>
      <c r="CC475" s="1"/>
      <c r="CD475" s="1"/>
      <c r="CE475" s="1"/>
      <c r="CF475" s="1"/>
      <c r="CG475" s="1"/>
    </row>
    <row r="476" spans="1:85" ht="15.75" customHeight="1">
      <c r="A476" s="84"/>
      <c r="B476" s="115"/>
      <c r="C476" s="86" t="s">
        <v>135</v>
      </c>
      <c r="D476" s="87" t="s">
        <v>136</v>
      </c>
      <c r="E476" s="70">
        <v>3000</v>
      </c>
      <c r="F476" s="164"/>
      <c r="G476" s="71">
        <f>E476-F476</f>
        <v>3000</v>
      </c>
      <c r="H476" s="70"/>
      <c r="I476" s="72">
        <f t="shared" si="1737"/>
        <v>0</v>
      </c>
      <c r="J476" s="72">
        <f t="shared" si="1738"/>
        <v>0</v>
      </c>
      <c r="K476" s="88"/>
      <c r="L476" s="74"/>
      <c r="M476" s="81"/>
      <c r="N476" s="107"/>
      <c r="O476" s="77">
        <f t="shared" ref="O476:Q476" si="2194">AA476+AD476+AG476+AJ476+AM476+AP476+AS476+AV476+AY476+BB476+BE476+BH476</f>
        <v>0</v>
      </c>
      <c r="P476" s="77">
        <f t="shared" si="2194"/>
        <v>0</v>
      </c>
      <c r="Q476" s="77">
        <f t="shared" si="2194"/>
        <v>0</v>
      </c>
      <c r="R476" s="77">
        <f t="shared" ref="R476:T476" si="2195">IF(BK476=0,SUM(AA476+AD476+AG476+AJ476+AM476+AP476+AS476+AV476+AY476+BB476+BE476+BH476),BK476)</f>
        <v>0</v>
      </c>
      <c r="S476" s="77">
        <f t="shared" si="2195"/>
        <v>0</v>
      </c>
      <c r="T476" s="77">
        <f t="shared" si="2195"/>
        <v>0</v>
      </c>
      <c r="U476" s="79">
        <f>K476-O476</f>
        <v>0</v>
      </c>
      <c r="V476" s="79">
        <f>L476-M476-S476</f>
        <v>0</v>
      </c>
      <c r="W476" s="79">
        <f>N476-Q476</f>
        <v>0</v>
      </c>
      <c r="X476" s="80">
        <f t="shared" ref="X476:Y476" si="2196">IF(O476&gt;0,O476/K476,0)</f>
        <v>0</v>
      </c>
      <c r="Y476" s="80">
        <f t="shared" si="2196"/>
        <v>0</v>
      </c>
      <c r="Z476" s="80">
        <f t="shared" si="1518"/>
        <v>0</v>
      </c>
      <c r="AA476" s="81"/>
      <c r="AB476" s="81"/>
      <c r="AC476" s="81"/>
      <c r="AD476" s="81"/>
      <c r="AE476" s="83"/>
      <c r="AF476" s="83"/>
      <c r="AG476" s="83"/>
      <c r="AH476" s="83"/>
      <c r="AI476" s="81"/>
      <c r="AJ476" s="81"/>
      <c r="AK476" s="81"/>
      <c r="AL476" s="81"/>
      <c r="AM476" s="81"/>
      <c r="AN476" s="81"/>
      <c r="AO476" s="81"/>
      <c r="AP476" s="81"/>
      <c r="AQ476" s="81"/>
      <c r="AR476" s="81"/>
      <c r="AS476" s="81"/>
      <c r="AT476" s="81"/>
      <c r="AU476" s="81"/>
      <c r="AV476" s="81"/>
      <c r="AW476" s="81"/>
      <c r="AX476" s="81"/>
      <c r="AY476" s="81"/>
      <c r="AZ476" s="81"/>
      <c r="BA476" s="81"/>
      <c r="BB476" s="81"/>
      <c r="BC476" s="81"/>
      <c r="BD476" s="81"/>
      <c r="BE476" s="81"/>
      <c r="BF476" s="81"/>
      <c r="BG476" s="81"/>
      <c r="BH476" s="81"/>
      <c r="BI476" s="81"/>
      <c r="BJ476" s="81"/>
      <c r="BK476" s="82">
        <v>0</v>
      </c>
      <c r="BL476" s="82">
        <v>0</v>
      </c>
      <c r="BM476" s="82">
        <v>0</v>
      </c>
      <c r="BN476" s="81">
        <f>IF(O476-BK476&gt;0,O476-BK476,0)</f>
        <v>0</v>
      </c>
      <c r="BO476" s="75">
        <f>IF(Q476-BM476&gt;0,Q476-BM476,0)</f>
        <v>0</v>
      </c>
      <c r="BP476" s="81">
        <f>IF(BN476+BO476&gt;0,BN476+BO476,0)</f>
        <v>0</v>
      </c>
      <c r="BQ476" s="81">
        <f>IF(U476=0,0,U476)</f>
        <v>0</v>
      </c>
      <c r="BR476" s="81">
        <f>IF(W476=0,0,W476)</f>
        <v>0</v>
      </c>
      <c r="BS476" s="81">
        <f>IF(BQ476+BR476&gt;0,BQ476+BR476,0)</f>
        <v>0</v>
      </c>
      <c r="BT476" s="81">
        <f>IF(V476&gt;0,V476,0)</f>
        <v>0</v>
      </c>
      <c r="BU476" s="81">
        <f>IF(BP476=0,0,BP476)</f>
        <v>0</v>
      </c>
      <c r="BV476" s="81">
        <f>IF(BS476=0,0,BS476)</f>
        <v>0</v>
      </c>
      <c r="BW476" s="81">
        <f>IF(BP476+BT476+BV476&gt;0,BP476+BT476+BV476,0)</f>
        <v>0</v>
      </c>
      <c r="BX476" s="1"/>
      <c r="BY476" s="1"/>
      <c r="BZ476" s="1"/>
      <c r="CA476" s="1"/>
      <c r="CB476" s="1"/>
      <c r="CC476" s="1"/>
      <c r="CD476" s="1"/>
      <c r="CE476" s="1"/>
      <c r="CF476" s="1"/>
      <c r="CG476" s="1"/>
    </row>
    <row r="477" spans="1:85" ht="15.75" customHeight="1">
      <c r="A477" s="270"/>
      <c r="B477" s="271"/>
      <c r="C477" s="272"/>
      <c r="D477" s="112" t="s">
        <v>452</v>
      </c>
      <c r="E477" s="58">
        <f t="shared" ref="E477:H477" si="2197">E478</f>
        <v>10000</v>
      </c>
      <c r="F477" s="59">
        <f t="shared" si="2197"/>
        <v>2522.73</v>
      </c>
      <c r="G477" s="59">
        <f t="shared" si="2197"/>
        <v>7477.27</v>
      </c>
      <c r="H477" s="59">
        <f t="shared" si="2197"/>
        <v>0</v>
      </c>
      <c r="I477" s="60">
        <f t="shared" si="1737"/>
        <v>0.20060797590564469</v>
      </c>
      <c r="J477" s="60">
        <f t="shared" si="1738"/>
        <v>0.20060797590564469</v>
      </c>
      <c r="K477" s="59">
        <f t="shared" ref="K477:W477" si="2198">K478</f>
        <v>1500</v>
      </c>
      <c r="L477" s="59">
        <f t="shared" si="2198"/>
        <v>0</v>
      </c>
      <c r="M477" s="59">
        <f t="shared" si="2198"/>
        <v>0</v>
      </c>
      <c r="N477" s="59">
        <f t="shared" si="2198"/>
        <v>0</v>
      </c>
      <c r="O477" s="59">
        <f t="shared" si="2198"/>
        <v>1500</v>
      </c>
      <c r="P477" s="59">
        <f t="shared" si="2198"/>
        <v>0</v>
      </c>
      <c r="Q477" s="59">
        <f t="shared" si="2198"/>
        <v>0</v>
      </c>
      <c r="R477" s="59">
        <f t="shared" si="2198"/>
        <v>1500</v>
      </c>
      <c r="S477" s="59">
        <f t="shared" si="2198"/>
        <v>0</v>
      </c>
      <c r="T477" s="59">
        <f t="shared" si="2198"/>
        <v>0</v>
      </c>
      <c r="U477" s="59">
        <f t="shared" si="2198"/>
        <v>0</v>
      </c>
      <c r="V477" s="59">
        <f t="shared" si="2198"/>
        <v>0</v>
      </c>
      <c r="W477" s="59">
        <f t="shared" si="2198"/>
        <v>0</v>
      </c>
      <c r="X477" s="63">
        <f t="shared" ref="X477:Y477" si="2199">IF(O477&gt;0,O477/K477,0)</f>
        <v>1</v>
      </c>
      <c r="Y477" s="63">
        <f t="shared" si="2199"/>
        <v>0</v>
      </c>
      <c r="Z477" s="63">
        <f t="shared" si="1518"/>
        <v>0</v>
      </c>
      <c r="AA477" s="59">
        <f t="shared" ref="AA477:BW477" si="2200">AA478</f>
        <v>0</v>
      </c>
      <c r="AB477" s="59">
        <f t="shared" si="2200"/>
        <v>0</v>
      </c>
      <c r="AC477" s="59">
        <f t="shared" si="2200"/>
        <v>0</v>
      </c>
      <c r="AD477" s="59">
        <f t="shared" si="2200"/>
        <v>0</v>
      </c>
      <c r="AE477" s="59">
        <f t="shared" si="2200"/>
        <v>0</v>
      </c>
      <c r="AF477" s="59">
        <f t="shared" si="2200"/>
        <v>0</v>
      </c>
      <c r="AG477" s="59">
        <f t="shared" si="2200"/>
        <v>0</v>
      </c>
      <c r="AH477" s="59">
        <f t="shared" si="2200"/>
        <v>0</v>
      </c>
      <c r="AI477" s="59">
        <f t="shared" si="2200"/>
        <v>0</v>
      </c>
      <c r="AJ477" s="59">
        <f t="shared" si="2200"/>
        <v>0</v>
      </c>
      <c r="AK477" s="59">
        <f t="shared" si="2200"/>
        <v>0</v>
      </c>
      <c r="AL477" s="59">
        <f t="shared" si="2200"/>
        <v>0</v>
      </c>
      <c r="AM477" s="59">
        <f t="shared" si="2200"/>
        <v>0</v>
      </c>
      <c r="AN477" s="59">
        <f t="shared" si="2200"/>
        <v>0</v>
      </c>
      <c r="AO477" s="59">
        <f t="shared" si="2200"/>
        <v>0</v>
      </c>
      <c r="AP477" s="59">
        <f t="shared" si="2200"/>
        <v>0</v>
      </c>
      <c r="AQ477" s="59">
        <f t="shared" si="2200"/>
        <v>0</v>
      </c>
      <c r="AR477" s="59">
        <f t="shared" si="2200"/>
        <v>0</v>
      </c>
      <c r="AS477" s="59">
        <f t="shared" si="2200"/>
        <v>0</v>
      </c>
      <c r="AT477" s="59">
        <f t="shared" si="2200"/>
        <v>0</v>
      </c>
      <c r="AU477" s="59">
        <f t="shared" si="2200"/>
        <v>0</v>
      </c>
      <c r="AV477" s="59">
        <f t="shared" si="2200"/>
        <v>0</v>
      </c>
      <c r="AW477" s="59">
        <f t="shared" si="2200"/>
        <v>0</v>
      </c>
      <c r="AX477" s="59">
        <f t="shared" si="2200"/>
        <v>0</v>
      </c>
      <c r="AY477" s="59">
        <f t="shared" si="2200"/>
        <v>0</v>
      </c>
      <c r="AZ477" s="59">
        <f t="shared" si="2200"/>
        <v>0</v>
      </c>
      <c r="BA477" s="59">
        <f t="shared" si="2200"/>
        <v>0</v>
      </c>
      <c r="BB477" s="59">
        <f t="shared" si="2200"/>
        <v>0</v>
      </c>
      <c r="BC477" s="59">
        <f t="shared" si="2200"/>
        <v>0</v>
      </c>
      <c r="BD477" s="59">
        <f t="shared" si="2200"/>
        <v>0</v>
      </c>
      <c r="BE477" s="59">
        <f t="shared" si="2200"/>
        <v>1500</v>
      </c>
      <c r="BF477" s="59">
        <f t="shared" si="2200"/>
        <v>0</v>
      </c>
      <c r="BG477" s="59">
        <f t="shared" si="2200"/>
        <v>0</v>
      </c>
      <c r="BH477" s="59">
        <f t="shared" si="2200"/>
        <v>0</v>
      </c>
      <c r="BI477" s="59">
        <f t="shared" si="2200"/>
        <v>0</v>
      </c>
      <c r="BJ477" s="59">
        <f t="shared" si="2200"/>
        <v>0</v>
      </c>
      <c r="BK477" s="376">
        <f t="shared" si="2200"/>
        <v>1500</v>
      </c>
      <c r="BL477" s="376">
        <f t="shared" si="2200"/>
        <v>0</v>
      </c>
      <c r="BM477" s="376">
        <f t="shared" si="2200"/>
        <v>0</v>
      </c>
      <c r="BN477" s="59">
        <f t="shared" si="2200"/>
        <v>0</v>
      </c>
      <c r="BO477" s="59">
        <f t="shared" si="2200"/>
        <v>0</v>
      </c>
      <c r="BP477" s="59">
        <f t="shared" si="2200"/>
        <v>0</v>
      </c>
      <c r="BQ477" s="59">
        <f t="shared" si="2200"/>
        <v>0</v>
      </c>
      <c r="BR477" s="59">
        <f t="shared" si="2200"/>
        <v>0</v>
      </c>
      <c r="BS477" s="59">
        <f t="shared" si="2200"/>
        <v>0</v>
      </c>
      <c r="BT477" s="59">
        <f t="shared" si="2200"/>
        <v>0</v>
      </c>
      <c r="BU477" s="59">
        <f t="shared" si="2200"/>
        <v>0</v>
      </c>
      <c r="BV477" s="59">
        <f t="shared" si="2200"/>
        <v>0</v>
      </c>
      <c r="BW477" s="59">
        <f t="shared" si="2200"/>
        <v>0</v>
      </c>
      <c r="BX477" s="1"/>
      <c r="BY477" s="1"/>
      <c r="BZ477" s="1"/>
      <c r="CA477" s="1"/>
      <c r="CB477" s="1"/>
      <c r="CC477" s="1"/>
      <c r="CD477" s="1"/>
      <c r="CE477" s="1"/>
      <c r="CF477" s="1"/>
      <c r="CG477" s="1"/>
    </row>
    <row r="478" spans="1:85" ht="15.75" customHeight="1">
      <c r="A478" s="125" t="s">
        <v>802</v>
      </c>
      <c r="B478" s="115"/>
      <c r="C478" s="86" t="s">
        <v>453</v>
      </c>
      <c r="D478" s="149" t="s">
        <v>454</v>
      </c>
      <c r="E478" s="70">
        <v>10000</v>
      </c>
      <c r="F478" s="377">
        <v>2522.73</v>
      </c>
      <c r="G478" s="71">
        <f>E478-F478</f>
        <v>7477.27</v>
      </c>
      <c r="H478" s="70"/>
      <c r="I478" s="72">
        <f t="shared" si="1737"/>
        <v>0.20060797590564469</v>
      </c>
      <c r="J478" s="72">
        <f t="shared" si="1738"/>
        <v>0.20060797590564469</v>
      </c>
      <c r="K478" s="73">
        <v>1500</v>
      </c>
      <c r="L478" s="74"/>
      <c r="M478" s="81"/>
      <c r="N478" s="107"/>
      <c r="O478" s="77">
        <f t="shared" ref="O478:Q478" si="2201">AA478+AD478+AG478+AJ478+AM478+AP478+AS478+AV478+AY478+BB478+BE478+BH478</f>
        <v>1500</v>
      </c>
      <c r="P478" s="77">
        <f t="shared" si="2201"/>
        <v>0</v>
      </c>
      <c r="Q478" s="77">
        <f t="shared" si="2201"/>
        <v>0</v>
      </c>
      <c r="R478" s="77">
        <f t="shared" ref="R478:T478" si="2202">IF(BK478=0,SUM(AA478+AD478+AG478+AJ478+AM478+AP478+AS478+AV478+AY478+BB478+BE478+BH478),BK478)</f>
        <v>1500</v>
      </c>
      <c r="S478" s="77">
        <f t="shared" si="2202"/>
        <v>0</v>
      </c>
      <c r="T478" s="77">
        <f t="shared" si="2202"/>
        <v>0</v>
      </c>
      <c r="U478" s="79">
        <f>K478-O478</f>
        <v>0</v>
      </c>
      <c r="V478" s="79">
        <f>L478-M478-S478</f>
        <v>0</v>
      </c>
      <c r="W478" s="79">
        <f>N478-Q478</f>
        <v>0</v>
      </c>
      <c r="X478" s="80">
        <f t="shared" ref="X478:Y478" si="2203">IF(O478&gt;0,O478/K478,0)</f>
        <v>1</v>
      </c>
      <c r="Y478" s="80">
        <f t="shared" si="2203"/>
        <v>0</v>
      </c>
      <c r="Z478" s="80">
        <f t="shared" si="1518"/>
        <v>0</v>
      </c>
      <c r="AA478" s="81"/>
      <c r="AB478" s="81"/>
      <c r="AC478" s="81"/>
      <c r="AD478" s="81"/>
      <c r="AE478" s="83"/>
      <c r="AF478" s="83"/>
      <c r="AG478" s="83"/>
      <c r="AH478" s="83"/>
      <c r="AI478" s="81"/>
      <c r="AJ478" s="81"/>
      <c r="AK478" s="81"/>
      <c r="AL478" s="81"/>
      <c r="AM478" s="81"/>
      <c r="AN478" s="81"/>
      <c r="AO478" s="81"/>
      <c r="AP478" s="81"/>
      <c r="AQ478" s="81"/>
      <c r="AR478" s="81"/>
      <c r="AS478" s="81"/>
      <c r="AT478" s="81"/>
      <c r="AU478" s="81"/>
      <c r="AV478" s="81"/>
      <c r="AW478" s="81"/>
      <c r="AX478" s="81"/>
      <c r="AY478" s="81"/>
      <c r="AZ478" s="81"/>
      <c r="BA478" s="81"/>
      <c r="BB478" s="81"/>
      <c r="BC478" s="81"/>
      <c r="BD478" s="81"/>
      <c r="BE478" s="82">
        <v>1500</v>
      </c>
      <c r="BF478" s="81"/>
      <c r="BG478" s="81"/>
      <c r="BH478" s="81"/>
      <c r="BI478" s="81"/>
      <c r="BJ478" s="81"/>
      <c r="BK478" s="378">
        <v>1500</v>
      </c>
      <c r="BL478" s="379">
        <v>0</v>
      </c>
      <c r="BM478" s="379">
        <v>0</v>
      </c>
      <c r="BN478" s="81">
        <f>IF(O478-BK478&gt;0,O478-BK478,0)</f>
        <v>0</v>
      </c>
      <c r="BO478" s="75">
        <f>IF(Q478-BM478&gt;0,Q478-BM478,0)</f>
        <v>0</v>
      </c>
      <c r="BP478" s="81">
        <f>IF(BN478+BO478&gt;0,BN478+BO478,0)</f>
        <v>0</v>
      </c>
      <c r="BQ478" s="81">
        <f>IF(U478=0,0,U478)</f>
        <v>0</v>
      </c>
      <c r="BR478" s="81">
        <f>IF(W478=0,0,W478)</f>
        <v>0</v>
      </c>
      <c r="BS478" s="81">
        <f>IF(BQ478+BR478&gt;0,BQ478+BR478,0)</f>
        <v>0</v>
      </c>
      <c r="BT478" s="81">
        <f>IF(V478&gt;0,V478,0)</f>
        <v>0</v>
      </c>
      <c r="BU478" s="81">
        <f>IF(BP478=0,0,BP478)</f>
        <v>0</v>
      </c>
      <c r="BV478" s="81">
        <f>IF(BS478=0,0,BS478)</f>
        <v>0</v>
      </c>
      <c r="BW478" s="81">
        <f>IF(BP478+BT478+BV478&gt;0,BP478+BT478+BV478,0)</f>
        <v>0</v>
      </c>
      <c r="BX478" s="1"/>
      <c r="BY478" s="1"/>
      <c r="BZ478" s="1"/>
      <c r="CA478" s="1"/>
      <c r="CB478" s="1"/>
      <c r="CC478" s="1"/>
      <c r="CD478" s="1"/>
      <c r="CE478" s="1"/>
      <c r="CF478" s="1"/>
      <c r="CG478" s="1"/>
    </row>
    <row r="479" spans="1:85" ht="15.75" customHeight="1">
      <c r="A479" s="270"/>
      <c r="B479" s="271"/>
      <c r="C479" s="272"/>
      <c r="D479" s="112" t="s">
        <v>344</v>
      </c>
      <c r="E479" s="58">
        <f t="shared" ref="E479:H479" si="2204">E480</f>
        <v>2144.33</v>
      </c>
      <c r="F479" s="59">
        <f t="shared" si="2204"/>
        <v>0</v>
      </c>
      <c r="G479" s="59">
        <f t="shared" si="2204"/>
        <v>2144.33</v>
      </c>
      <c r="H479" s="59">
        <f t="shared" si="2204"/>
        <v>0</v>
      </c>
      <c r="I479" s="60">
        <f t="shared" si="1737"/>
        <v>0.13990383942770004</v>
      </c>
      <c r="J479" s="60">
        <f t="shared" si="1738"/>
        <v>0.13990383942770004</v>
      </c>
      <c r="K479" s="59">
        <f t="shared" ref="K479:W479" si="2205">K480</f>
        <v>300</v>
      </c>
      <c r="L479" s="59">
        <f t="shared" si="2205"/>
        <v>0</v>
      </c>
      <c r="M479" s="59">
        <f t="shared" si="2205"/>
        <v>0</v>
      </c>
      <c r="N479" s="59">
        <f t="shared" si="2205"/>
        <v>0</v>
      </c>
      <c r="O479" s="59">
        <f t="shared" si="2205"/>
        <v>300</v>
      </c>
      <c r="P479" s="59">
        <f t="shared" si="2205"/>
        <v>0</v>
      </c>
      <c r="Q479" s="59">
        <f t="shared" si="2205"/>
        <v>0</v>
      </c>
      <c r="R479" s="59">
        <f t="shared" si="2205"/>
        <v>300</v>
      </c>
      <c r="S479" s="59">
        <f t="shared" si="2205"/>
        <v>0</v>
      </c>
      <c r="T479" s="59">
        <f t="shared" si="2205"/>
        <v>0</v>
      </c>
      <c r="U479" s="59">
        <f t="shared" si="2205"/>
        <v>0</v>
      </c>
      <c r="V479" s="59">
        <f t="shared" si="2205"/>
        <v>0</v>
      </c>
      <c r="W479" s="59">
        <f t="shared" si="2205"/>
        <v>0</v>
      </c>
      <c r="X479" s="63">
        <f t="shared" ref="X479:Y479" si="2206">IF(O479&gt;0,O479/K479,0)</f>
        <v>1</v>
      </c>
      <c r="Y479" s="63">
        <f t="shared" si="2206"/>
        <v>0</v>
      </c>
      <c r="Z479" s="63">
        <f t="shared" si="1518"/>
        <v>0</v>
      </c>
      <c r="AA479" s="59">
        <f t="shared" ref="AA479:BW479" si="2207">AA480</f>
        <v>0</v>
      </c>
      <c r="AB479" s="59">
        <f t="shared" si="2207"/>
        <v>0</v>
      </c>
      <c r="AC479" s="59">
        <f t="shared" si="2207"/>
        <v>0</v>
      </c>
      <c r="AD479" s="59">
        <f t="shared" si="2207"/>
        <v>0</v>
      </c>
      <c r="AE479" s="59">
        <f t="shared" si="2207"/>
        <v>0</v>
      </c>
      <c r="AF479" s="59">
        <f t="shared" si="2207"/>
        <v>0</v>
      </c>
      <c r="AG479" s="59">
        <f t="shared" si="2207"/>
        <v>0</v>
      </c>
      <c r="AH479" s="59">
        <f t="shared" si="2207"/>
        <v>0</v>
      </c>
      <c r="AI479" s="59">
        <f t="shared" si="2207"/>
        <v>0</v>
      </c>
      <c r="AJ479" s="59">
        <f t="shared" si="2207"/>
        <v>0</v>
      </c>
      <c r="AK479" s="59">
        <f t="shared" si="2207"/>
        <v>0</v>
      </c>
      <c r="AL479" s="59">
        <f t="shared" si="2207"/>
        <v>0</v>
      </c>
      <c r="AM479" s="59">
        <f t="shared" si="2207"/>
        <v>0</v>
      </c>
      <c r="AN479" s="59">
        <f t="shared" si="2207"/>
        <v>0</v>
      </c>
      <c r="AO479" s="59">
        <f t="shared" si="2207"/>
        <v>0</v>
      </c>
      <c r="AP479" s="59">
        <f t="shared" si="2207"/>
        <v>0</v>
      </c>
      <c r="AQ479" s="59">
        <f t="shared" si="2207"/>
        <v>0</v>
      </c>
      <c r="AR479" s="59">
        <f t="shared" si="2207"/>
        <v>0</v>
      </c>
      <c r="AS479" s="59">
        <f t="shared" si="2207"/>
        <v>0</v>
      </c>
      <c r="AT479" s="59">
        <f t="shared" si="2207"/>
        <v>0</v>
      </c>
      <c r="AU479" s="59">
        <f t="shared" si="2207"/>
        <v>0</v>
      </c>
      <c r="AV479" s="59">
        <f t="shared" si="2207"/>
        <v>0</v>
      </c>
      <c r="AW479" s="59">
        <f t="shared" si="2207"/>
        <v>0</v>
      </c>
      <c r="AX479" s="59">
        <f t="shared" si="2207"/>
        <v>0</v>
      </c>
      <c r="AY479" s="59">
        <f t="shared" si="2207"/>
        <v>0</v>
      </c>
      <c r="AZ479" s="59">
        <f t="shared" si="2207"/>
        <v>0</v>
      </c>
      <c r="BA479" s="59">
        <f t="shared" si="2207"/>
        <v>0</v>
      </c>
      <c r="BB479" s="59">
        <f t="shared" si="2207"/>
        <v>0</v>
      </c>
      <c r="BC479" s="59">
        <f t="shared" si="2207"/>
        <v>0</v>
      </c>
      <c r="BD479" s="59">
        <f t="shared" si="2207"/>
        <v>0</v>
      </c>
      <c r="BE479" s="59">
        <f t="shared" si="2207"/>
        <v>300</v>
      </c>
      <c r="BF479" s="59">
        <f t="shared" si="2207"/>
        <v>0</v>
      </c>
      <c r="BG479" s="59">
        <f t="shared" si="2207"/>
        <v>0</v>
      </c>
      <c r="BH479" s="59">
        <f t="shared" si="2207"/>
        <v>0</v>
      </c>
      <c r="BI479" s="59">
        <f t="shared" si="2207"/>
        <v>0</v>
      </c>
      <c r="BJ479" s="59">
        <f t="shared" si="2207"/>
        <v>0</v>
      </c>
      <c r="BK479" s="59">
        <f t="shared" si="2207"/>
        <v>300</v>
      </c>
      <c r="BL479" s="59">
        <f t="shared" si="2207"/>
        <v>0</v>
      </c>
      <c r="BM479" s="59">
        <f t="shared" si="2207"/>
        <v>0</v>
      </c>
      <c r="BN479" s="59">
        <f t="shared" si="2207"/>
        <v>0</v>
      </c>
      <c r="BO479" s="59">
        <f t="shared" si="2207"/>
        <v>0</v>
      </c>
      <c r="BP479" s="59">
        <f t="shared" si="2207"/>
        <v>0</v>
      </c>
      <c r="BQ479" s="59">
        <f t="shared" si="2207"/>
        <v>0</v>
      </c>
      <c r="BR479" s="59">
        <f t="shared" si="2207"/>
        <v>0</v>
      </c>
      <c r="BS479" s="59">
        <f t="shared" si="2207"/>
        <v>0</v>
      </c>
      <c r="BT479" s="59">
        <f t="shared" si="2207"/>
        <v>0</v>
      </c>
      <c r="BU479" s="59">
        <f t="shared" si="2207"/>
        <v>0</v>
      </c>
      <c r="BV479" s="59">
        <f t="shared" si="2207"/>
        <v>0</v>
      </c>
      <c r="BW479" s="59">
        <f t="shared" si="2207"/>
        <v>0</v>
      </c>
      <c r="BX479" s="1"/>
      <c r="BY479" s="1"/>
      <c r="BZ479" s="1"/>
      <c r="CA479" s="1"/>
      <c r="CB479" s="1"/>
      <c r="CC479" s="1"/>
      <c r="CD479" s="1"/>
      <c r="CE479" s="1"/>
      <c r="CF479" s="1"/>
      <c r="CG479" s="1"/>
    </row>
    <row r="480" spans="1:85" ht="15.75" customHeight="1">
      <c r="A480" s="89" t="s">
        <v>803</v>
      </c>
      <c r="B480" s="90"/>
      <c r="C480" s="162" t="s">
        <v>350</v>
      </c>
      <c r="D480" s="179" t="s">
        <v>799</v>
      </c>
      <c r="E480" s="163">
        <v>2144.33</v>
      </c>
      <c r="F480" s="164"/>
      <c r="G480" s="71">
        <f>E480-F480</f>
        <v>2144.33</v>
      </c>
      <c r="H480" s="70"/>
      <c r="I480" s="72">
        <f t="shared" si="1737"/>
        <v>0.13990383942770004</v>
      </c>
      <c r="J480" s="72">
        <f t="shared" si="1738"/>
        <v>0.13990383942770004</v>
      </c>
      <c r="K480" s="73">
        <v>300</v>
      </c>
      <c r="L480" s="74"/>
      <c r="M480" s="81"/>
      <c r="N480" s="107"/>
      <c r="O480" s="77">
        <f t="shared" ref="O480:Q480" si="2208">AA480+AD480+AG480+AJ480+AM480+AP480+AS480+AV480+AY480+BB480+BE480+BH480</f>
        <v>300</v>
      </c>
      <c r="P480" s="77">
        <f t="shared" si="2208"/>
        <v>0</v>
      </c>
      <c r="Q480" s="77">
        <f t="shared" si="2208"/>
        <v>0</v>
      </c>
      <c r="R480" s="77">
        <f t="shared" ref="R480:T480" si="2209">IF(BK480=0,SUM(AA480+AD480+AG480+AJ480+AM480+AP480+AS480+AV480+AY480+BB480+BE480+BH480),BK480)</f>
        <v>300</v>
      </c>
      <c r="S480" s="77">
        <f t="shared" si="2209"/>
        <v>0</v>
      </c>
      <c r="T480" s="77">
        <f t="shared" si="2209"/>
        <v>0</v>
      </c>
      <c r="U480" s="79">
        <f>K480-O480</f>
        <v>0</v>
      </c>
      <c r="V480" s="79">
        <f>L480-M480-S480</f>
        <v>0</v>
      </c>
      <c r="W480" s="79">
        <f>N480-Q480</f>
        <v>0</v>
      </c>
      <c r="X480" s="80">
        <f t="shared" ref="X480:Y480" si="2210">IF(O480&gt;0,O480/K480,0)</f>
        <v>1</v>
      </c>
      <c r="Y480" s="80">
        <f t="shared" si="2210"/>
        <v>0</v>
      </c>
      <c r="Z480" s="80">
        <f t="shared" si="1518"/>
        <v>0</v>
      </c>
      <c r="AA480" s="81"/>
      <c r="AB480" s="81"/>
      <c r="AC480" s="81"/>
      <c r="AD480" s="81"/>
      <c r="AE480" s="83"/>
      <c r="AF480" s="83"/>
      <c r="AG480" s="83"/>
      <c r="AH480" s="83"/>
      <c r="AI480" s="81"/>
      <c r="AJ480" s="81"/>
      <c r="AK480" s="81"/>
      <c r="AL480" s="81"/>
      <c r="AM480" s="81"/>
      <c r="AN480" s="81"/>
      <c r="AO480" s="81"/>
      <c r="AP480" s="81"/>
      <c r="AQ480" s="81"/>
      <c r="AR480" s="81"/>
      <c r="AS480" s="81"/>
      <c r="AT480" s="81"/>
      <c r="AU480" s="81"/>
      <c r="AV480" s="81"/>
      <c r="AW480" s="81"/>
      <c r="AX480" s="81"/>
      <c r="AY480" s="81"/>
      <c r="AZ480" s="81"/>
      <c r="BA480" s="81"/>
      <c r="BB480" s="81"/>
      <c r="BC480" s="81"/>
      <c r="BD480" s="81"/>
      <c r="BE480" s="82">
        <v>300</v>
      </c>
      <c r="BF480" s="81"/>
      <c r="BG480" s="81"/>
      <c r="BH480" s="81"/>
      <c r="BI480" s="81"/>
      <c r="BJ480" s="81"/>
      <c r="BK480" s="82">
        <v>300</v>
      </c>
      <c r="BL480" s="82">
        <v>0</v>
      </c>
      <c r="BM480" s="82">
        <v>0</v>
      </c>
      <c r="BN480" s="81">
        <f>IF(O480-BK480&gt;0,O480-BK480,0)</f>
        <v>0</v>
      </c>
      <c r="BO480" s="75">
        <f>IF(Q480-BM480&gt;0,Q480-BM480,0)</f>
        <v>0</v>
      </c>
      <c r="BP480" s="81">
        <f>IF(BN480+BO480&gt;0,BN480+BO480,0)</f>
        <v>0</v>
      </c>
      <c r="BQ480" s="81">
        <f>IF(U480=0,0,U480)</f>
        <v>0</v>
      </c>
      <c r="BR480" s="81">
        <f>IF(W480=0,0,W480)</f>
        <v>0</v>
      </c>
      <c r="BS480" s="81">
        <f>IF(BQ480+BR480&gt;0,BQ480+BR480,0)</f>
        <v>0</v>
      </c>
      <c r="BT480" s="81">
        <f>IF(V480&gt;0,V480,0)</f>
        <v>0</v>
      </c>
      <c r="BU480" s="81">
        <f>IF(BP480=0,0,BP480)</f>
        <v>0</v>
      </c>
      <c r="BV480" s="81">
        <f>IF(BS480=0,0,BS480)</f>
        <v>0</v>
      </c>
      <c r="BW480" s="81">
        <f>IF(BP480+BT480+BV480&gt;0,BP480+BT480+BV480,0)</f>
        <v>0</v>
      </c>
      <c r="BX480" s="1"/>
      <c r="BY480" s="1"/>
      <c r="BZ480" s="1"/>
      <c r="CA480" s="1"/>
      <c r="CB480" s="1"/>
      <c r="CC480" s="1"/>
      <c r="CD480" s="1"/>
      <c r="CE480" s="1"/>
      <c r="CF480" s="1"/>
      <c r="CG480" s="1"/>
    </row>
    <row r="481" spans="1:85" ht="15.75" customHeight="1">
      <c r="A481" s="323"/>
      <c r="B481" s="101"/>
      <c r="C481" s="102"/>
      <c r="D481" s="103" t="s">
        <v>804</v>
      </c>
      <c r="E481" s="104">
        <f t="shared" ref="E481:H481" si="2211">E482+E484</f>
        <v>0</v>
      </c>
      <c r="F481" s="251">
        <f t="shared" si="2211"/>
        <v>0</v>
      </c>
      <c r="G481" s="251">
        <f t="shared" si="2211"/>
        <v>0</v>
      </c>
      <c r="H481" s="251">
        <f t="shared" si="2211"/>
        <v>0</v>
      </c>
      <c r="I481" s="105">
        <f t="shared" si="1737"/>
        <v>0</v>
      </c>
      <c r="J481" s="105">
        <f t="shared" si="1738"/>
        <v>0</v>
      </c>
      <c r="K481" s="251">
        <f t="shared" ref="K481:W481" si="2212">K482+K484</f>
        <v>0</v>
      </c>
      <c r="L481" s="251">
        <f t="shared" si="2212"/>
        <v>0</v>
      </c>
      <c r="M481" s="251">
        <f t="shared" si="2212"/>
        <v>0</v>
      </c>
      <c r="N481" s="251">
        <f t="shared" si="2212"/>
        <v>0</v>
      </c>
      <c r="O481" s="251">
        <f t="shared" si="2212"/>
        <v>0</v>
      </c>
      <c r="P481" s="251">
        <f t="shared" si="2212"/>
        <v>0</v>
      </c>
      <c r="Q481" s="251">
        <f t="shared" si="2212"/>
        <v>0</v>
      </c>
      <c r="R481" s="251">
        <f t="shared" si="2212"/>
        <v>0</v>
      </c>
      <c r="S481" s="251">
        <f t="shared" si="2212"/>
        <v>0</v>
      </c>
      <c r="T481" s="251">
        <f t="shared" si="2212"/>
        <v>0</v>
      </c>
      <c r="U481" s="251">
        <f t="shared" si="2212"/>
        <v>0</v>
      </c>
      <c r="V481" s="251">
        <f t="shared" si="2212"/>
        <v>0</v>
      </c>
      <c r="W481" s="251">
        <f t="shared" si="2212"/>
        <v>0</v>
      </c>
      <c r="X481" s="106">
        <f t="shared" ref="X481:Y481" si="2213">IF(O481&gt;0,O481/K481,0)</f>
        <v>0</v>
      </c>
      <c r="Y481" s="106">
        <f t="shared" si="2213"/>
        <v>0</v>
      </c>
      <c r="Z481" s="106">
        <f t="shared" si="1518"/>
        <v>0</v>
      </c>
      <c r="AA481" s="251">
        <f t="shared" ref="AA481:BW481" si="2214">AA482+AA484</f>
        <v>0</v>
      </c>
      <c r="AB481" s="251">
        <f t="shared" si="2214"/>
        <v>0</v>
      </c>
      <c r="AC481" s="251">
        <f t="shared" si="2214"/>
        <v>0</v>
      </c>
      <c r="AD481" s="251">
        <f t="shared" si="2214"/>
        <v>0</v>
      </c>
      <c r="AE481" s="251">
        <f t="shared" si="2214"/>
        <v>0</v>
      </c>
      <c r="AF481" s="251">
        <f t="shared" si="2214"/>
        <v>0</v>
      </c>
      <c r="AG481" s="251">
        <f t="shared" si="2214"/>
        <v>0</v>
      </c>
      <c r="AH481" s="251">
        <f t="shared" si="2214"/>
        <v>0</v>
      </c>
      <c r="AI481" s="251">
        <f t="shared" si="2214"/>
        <v>0</v>
      </c>
      <c r="AJ481" s="251">
        <f t="shared" si="2214"/>
        <v>0</v>
      </c>
      <c r="AK481" s="251">
        <f t="shared" si="2214"/>
        <v>0</v>
      </c>
      <c r="AL481" s="251">
        <f t="shared" si="2214"/>
        <v>0</v>
      </c>
      <c r="AM481" s="251">
        <f t="shared" si="2214"/>
        <v>0</v>
      </c>
      <c r="AN481" s="251">
        <f t="shared" si="2214"/>
        <v>0</v>
      </c>
      <c r="AO481" s="251">
        <f t="shared" si="2214"/>
        <v>0</v>
      </c>
      <c r="AP481" s="251">
        <f t="shared" si="2214"/>
        <v>0</v>
      </c>
      <c r="AQ481" s="251">
        <f t="shared" si="2214"/>
        <v>0</v>
      </c>
      <c r="AR481" s="251">
        <f t="shared" si="2214"/>
        <v>0</v>
      </c>
      <c r="AS481" s="251">
        <f t="shared" si="2214"/>
        <v>0</v>
      </c>
      <c r="AT481" s="251">
        <f t="shared" si="2214"/>
        <v>0</v>
      </c>
      <c r="AU481" s="251">
        <f t="shared" si="2214"/>
        <v>0</v>
      </c>
      <c r="AV481" s="251">
        <f t="shared" si="2214"/>
        <v>0</v>
      </c>
      <c r="AW481" s="251">
        <f t="shared" si="2214"/>
        <v>0</v>
      </c>
      <c r="AX481" s="251">
        <f t="shared" si="2214"/>
        <v>0</v>
      </c>
      <c r="AY481" s="251">
        <f t="shared" si="2214"/>
        <v>0</v>
      </c>
      <c r="AZ481" s="251">
        <f t="shared" si="2214"/>
        <v>0</v>
      </c>
      <c r="BA481" s="251">
        <f t="shared" si="2214"/>
        <v>0</v>
      </c>
      <c r="BB481" s="251">
        <f t="shared" si="2214"/>
        <v>0</v>
      </c>
      <c r="BC481" s="251">
        <f t="shared" si="2214"/>
        <v>0</v>
      </c>
      <c r="BD481" s="251">
        <f t="shared" si="2214"/>
        <v>0</v>
      </c>
      <c r="BE481" s="251">
        <f t="shared" si="2214"/>
        <v>0</v>
      </c>
      <c r="BF481" s="251">
        <f t="shared" si="2214"/>
        <v>0</v>
      </c>
      <c r="BG481" s="251">
        <f t="shared" si="2214"/>
        <v>0</v>
      </c>
      <c r="BH481" s="251">
        <f t="shared" si="2214"/>
        <v>0</v>
      </c>
      <c r="BI481" s="251">
        <f t="shared" si="2214"/>
        <v>0</v>
      </c>
      <c r="BJ481" s="251">
        <f t="shared" si="2214"/>
        <v>0</v>
      </c>
      <c r="BK481" s="251">
        <f t="shared" si="2214"/>
        <v>0</v>
      </c>
      <c r="BL481" s="251">
        <f t="shared" si="2214"/>
        <v>0</v>
      </c>
      <c r="BM481" s="251">
        <f t="shared" si="2214"/>
        <v>0</v>
      </c>
      <c r="BN481" s="251">
        <f t="shared" si="2214"/>
        <v>0</v>
      </c>
      <c r="BO481" s="251">
        <f t="shared" si="2214"/>
        <v>0</v>
      </c>
      <c r="BP481" s="251">
        <f t="shared" si="2214"/>
        <v>0</v>
      </c>
      <c r="BQ481" s="251">
        <f t="shared" si="2214"/>
        <v>0</v>
      </c>
      <c r="BR481" s="251">
        <f t="shared" si="2214"/>
        <v>0</v>
      </c>
      <c r="BS481" s="251">
        <f t="shared" si="2214"/>
        <v>0</v>
      </c>
      <c r="BT481" s="251">
        <f t="shared" si="2214"/>
        <v>0</v>
      </c>
      <c r="BU481" s="251">
        <f t="shared" si="2214"/>
        <v>0</v>
      </c>
      <c r="BV481" s="251">
        <f t="shared" si="2214"/>
        <v>0</v>
      </c>
      <c r="BW481" s="251">
        <f t="shared" si="2214"/>
        <v>0</v>
      </c>
      <c r="BX481" s="1"/>
      <c r="BY481" s="1"/>
      <c r="BZ481" s="1"/>
      <c r="CA481" s="1"/>
      <c r="CB481" s="1"/>
      <c r="CC481" s="1"/>
      <c r="CD481" s="1"/>
      <c r="CE481" s="1"/>
      <c r="CF481" s="1"/>
      <c r="CG481" s="1"/>
    </row>
    <row r="482" spans="1:85" ht="15.75" customHeight="1">
      <c r="A482" s="355"/>
      <c r="B482" s="356"/>
      <c r="C482" s="357"/>
      <c r="D482" s="57" t="s">
        <v>251</v>
      </c>
      <c r="E482" s="58">
        <f t="shared" ref="E482:H482" si="2215">E483</f>
        <v>0</v>
      </c>
      <c r="F482" s="59">
        <f t="shared" si="2215"/>
        <v>0</v>
      </c>
      <c r="G482" s="59">
        <f t="shared" si="2215"/>
        <v>0</v>
      </c>
      <c r="H482" s="59">
        <f t="shared" si="2215"/>
        <v>0</v>
      </c>
      <c r="I482" s="60">
        <f t="shared" si="1737"/>
        <v>0</v>
      </c>
      <c r="J482" s="60">
        <f t="shared" si="1738"/>
        <v>0</v>
      </c>
      <c r="K482" s="59">
        <f t="shared" ref="K482:W482" si="2216">K483</f>
        <v>0</v>
      </c>
      <c r="L482" s="59">
        <f t="shared" si="2216"/>
        <v>0</v>
      </c>
      <c r="M482" s="59">
        <f t="shared" si="2216"/>
        <v>0</v>
      </c>
      <c r="N482" s="59">
        <f t="shared" si="2216"/>
        <v>0</v>
      </c>
      <c r="O482" s="59">
        <f t="shared" si="2216"/>
        <v>0</v>
      </c>
      <c r="P482" s="59">
        <f t="shared" si="2216"/>
        <v>0</v>
      </c>
      <c r="Q482" s="59">
        <f t="shared" si="2216"/>
        <v>0</v>
      </c>
      <c r="R482" s="59">
        <f t="shared" si="2216"/>
        <v>0</v>
      </c>
      <c r="S482" s="59">
        <f t="shared" si="2216"/>
        <v>0</v>
      </c>
      <c r="T482" s="59">
        <f t="shared" si="2216"/>
        <v>0</v>
      </c>
      <c r="U482" s="59">
        <f t="shared" si="2216"/>
        <v>0</v>
      </c>
      <c r="V482" s="59">
        <f t="shared" si="2216"/>
        <v>0</v>
      </c>
      <c r="W482" s="59">
        <f t="shared" si="2216"/>
        <v>0</v>
      </c>
      <c r="X482" s="63">
        <f t="shared" ref="X482:Y482" si="2217">IF(O482&gt;0,O482/K482,0)</f>
        <v>0</v>
      </c>
      <c r="Y482" s="63">
        <f t="shared" si="2217"/>
        <v>0</v>
      </c>
      <c r="Z482" s="63">
        <f t="shared" si="1518"/>
        <v>0</v>
      </c>
      <c r="AA482" s="59">
        <f t="shared" ref="AA482:BW482" si="2218">AA483</f>
        <v>0</v>
      </c>
      <c r="AB482" s="59">
        <f t="shared" si="2218"/>
        <v>0</v>
      </c>
      <c r="AC482" s="59">
        <f t="shared" si="2218"/>
        <v>0</v>
      </c>
      <c r="AD482" s="59">
        <f t="shared" si="2218"/>
        <v>0</v>
      </c>
      <c r="AE482" s="59">
        <f t="shared" si="2218"/>
        <v>0</v>
      </c>
      <c r="AF482" s="59">
        <f t="shared" si="2218"/>
        <v>0</v>
      </c>
      <c r="AG482" s="59">
        <f t="shared" si="2218"/>
        <v>0</v>
      </c>
      <c r="AH482" s="59">
        <f t="shared" si="2218"/>
        <v>0</v>
      </c>
      <c r="AI482" s="59">
        <f t="shared" si="2218"/>
        <v>0</v>
      </c>
      <c r="AJ482" s="59">
        <f t="shared" si="2218"/>
        <v>0</v>
      </c>
      <c r="AK482" s="59">
        <f t="shared" si="2218"/>
        <v>0</v>
      </c>
      <c r="AL482" s="59">
        <f t="shared" si="2218"/>
        <v>0</v>
      </c>
      <c r="AM482" s="59">
        <f t="shared" si="2218"/>
        <v>0</v>
      </c>
      <c r="AN482" s="59">
        <f t="shared" si="2218"/>
        <v>0</v>
      </c>
      <c r="AO482" s="59">
        <f t="shared" si="2218"/>
        <v>0</v>
      </c>
      <c r="AP482" s="59">
        <f t="shared" si="2218"/>
        <v>0</v>
      </c>
      <c r="AQ482" s="59">
        <f t="shared" si="2218"/>
        <v>0</v>
      </c>
      <c r="AR482" s="59">
        <f t="shared" si="2218"/>
        <v>0</v>
      </c>
      <c r="AS482" s="59">
        <f t="shared" si="2218"/>
        <v>0</v>
      </c>
      <c r="AT482" s="59">
        <f t="shared" si="2218"/>
        <v>0</v>
      </c>
      <c r="AU482" s="59">
        <f t="shared" si="2218"/>
        <v>0</v>
      </c>
      <c r="AV482" s="59">
        <f t="shared" si="2218"/>
        <v>0</v>
      </c>
      <c r="AW482" s="59">
        <f t="shared" si="2218"/>
        <v>0</v>
      </c>
      <c r="AX482" s="59">
        <f t="shared" si="2218"/>
        <v>0</v>
      </c>
      <c r="AY482" s="59">
        <f t="shared" si="2218"/>
        <v>0</v>
      </c>
      <c r="AZ482" s="59">
        <f t="shared" si="2218"/>
        <v>0</v>
      </c>
      <c r="BA482" s="59">
        <f t="shared" si="2218"/>
        <v>0</v>
      </c>
      <c r="BB482" s="59">
        <f t="shared" si="2218"/>
        <v>0</v>
      </c>
      <c r="BC482" s="59">
        <f t="shared" si="2218"/>
        <v>0</v>
      </c>
      <c r="BD482" s="59">
        <f t="shared" si="2218"/>
        <v>0</v>
      </c>
      <c r="BE482" s="59">
        <f t="shared" si="2218"/>
        <v>0</v>
      </c>
      <c r="BF482" s="59">
        <f t="shared" si="2218"/>
        <v>0</v>
      </c>
      <c r="BG482" s="59">
        <f t="shared" si="2218"/>
        <v>0</v>
      </c>
      <c r="BH482" s="59">
        <f t="shared" si="2218"/>
        <v>0</v>
      </c>
      <c r="BI482" s="59">
        <f t="shared" si="2218"/>
        <v>0</v>
      </c>
      <c r="BJ482" s="59">
        <f t="shared" si="2218"/>
        <v>0</v>
      </c>
      <c r="BK482" s="59">
        <f t="shared" si="2218"/>
        <v>0</v>
      </c>
      <c r="BL482" s="59">
        <f t="shared" si="2218"/>
        <v>0</v>
      </c>
      <c r="BM482" s="59">
        <f t="shared" si="2218"/>
        <v>0</v>
      </c>
      <c r="BN482" s="59">
        <f t="shared" si="2218"/>
        <v>0</v>
      </c>
      <c r="BO482" s="59">
        <f t="shared" si="2218"/>
        <v>0</v>
      </c>
      <c r="BP482" s="59">
        <f t="shared" si="2218"/>
        <v>0</v>
      </c>
      <c r="BQ482" s="59">
        <f t="shared" si="2218"/>
        <v>0</v>
      </c>
      <c r="BR482" s="59">
        <f t="shared" si="2218"/>
        <v>0</v>
      </c>
      <c r="BS482" s="59">
        <f t="shared" si="2218"/>
        <v>0</v>
      </c>
      <c r="BT482" s="59">
        <f t="shared" si="2218"/>
        <v>0</v>
      </c>
      <c r="BU482" s="59">
        <f t="shared" si="2218"/>
        <v>0</v>
      </c>
      <c r="BV482" s="59">
        <f t="shared" si="2218"/>
        <v>0</v>
      </c>
      <c r="BW482" s="59">
        <f t="shared" si="2218"/>
        <v>0</v>
      </c>
      <c r="BX482" s="1"/>
      <c r="BY482" s="1"/>
      <c r="BZ482" s="1"/>
      <c r="CA482" s="1"/>
      <c r="CB482" s="1"/>
      <c r="CC482" s="1"/>
      <c r="CD482" s="1"/>
      <c r="CE482" s="1"/>
      <c r="CF482" s="1"/>
      <c r="CG482" s="1"/>
    </row>
    <row r="483" spans="1:85" ht="15.75" customHeight="1">
      <c r="A483" s="84"/>
      <c r="B483" s="115"/>
      <c r="C483" s="86" t="s">
        <v>805</v>
      </c>
      <c r="D483" s="87" t="s">
        <v>806</v>
      </c>
      <c r="E483" s="70"/>
      <c r="F483" s="71"/>
      <c r="G483" s="71">
        <f>E483-F483</f>
        <v>0</v>
      </c>
      <c r="H483" s="70"/>
      <c r="I483" s="72">
        <f t="shared" si="1737"/>
        <v>0</v>
      </c>
      <c r="J483" s="72">
        <f t="shared" si="1738"/>
        <v>0</v>
      </c>
      <c r="K483" s="107"/>
      <c r="L483" s="74"/>
      <c r="M483" s="81"/>
      <c r="N483" s="88"/>
      <c r="O483" s="77">
        <f t="shared" ref="O483:Q483" si="2219">AA483+AD483+AG483+AJ483+AM483+AP483+AS483+AV483+AY483+BB483+BE483+BH483</f>
        <v>0</v>
      </c>
      <c r="P483" s="77">
        <f t="shared" si="2219"/>
        <v>0</v>
      </c>
      <c r="Q483" s="77">
        <f t="shared" si="2219"/>
        <v>0</v>
      </c>
      <c r="R483" s="77">
        <f t="shared" ref="R483:T483" si="2220">IF(BK483=0,SUM(AA483+AD483+AG483+AJ483+AM483+AP483+AS483+AV483+AY483+BB483+BE483+BH483),BK483)</f>
        <v>0</v>
      </c>
      <c r="S483" s="77">
        <f t="shared" si="2220"/>
        <v>0</v>
      </c>
      <c r="T483" s="77">
        <f t="shared" si="2220"/>
        <v>0</v>
      </c>
      <c r="U483" s="79">
        <f>K483-O483</f>
        <v>0</v>
      </c>
      <c r="V483" s="79">
        <f>L483-M483-S483</f>
        <v>0</v>
      </c>
      <c r="W483" s="79">
        <f>N483-Q483</f>
        <v>0</v>
      </c>
      <c r="X483" s="80">
        <f t="shared" ref="X483:Y483" si="2221">IF(O483&gt;0,O483/K483,0)</f>
        <v>0</v>
      </c>
      <c r="Y483" s="80">
        <f t="shared" si="2221"/>
        <v>0</v>
      </c>
      <c r="Z483" s="80">
        <f t="shared" si="1518"/>
        <v>0</v>
      </c>
      <c r="AA483" s="81"/>
      <c r="AB483" s="81"/>
      <c r="AC483" s="81"/>
      <c r="AD483" s="81"/>
      <c r="AE483" s="83"/>
      <c r="AF483" s="83"/>
      <c r="AG483" s="83"/>
      <c r="AH483" s="83"/>
      <c r="AI483" s="81"/>
      <c r="AJ483" s="81"/>
      <c r="AK483" s="81"/>
      <c r="AL483" s="81"/>
      <c r="AM483" s="81"/>
      <c r="AN483" s="81"/>
      <c r="AO483" s="81"/>
      <c r="AP483" s="81"/>
      <c r="AQ483" s="81"/>
      <c r="AR483" s="81"/>
      <c r="AS483" s="81"/>
      <c r="AT483" s="81"/>
      <c r="AU483" s="81"/>
      <c r="AV483" s="81"/>
      <c r="AW483" s="81"/>
      <c r="AX483" s="81"/>
      <c r="AY483" s="81"/>
      <c r="AZ483" s="81"/>
      <c r="BA483" s="81"/>
      <c r="BB483" s="81"/>
      <c r="BC483" s="81"/>
      <c r="BD483" s="81"/>
      <c r="BE483" s="81"/>
      <c r="BF483" s="81"/>
      <c r="BG483" s="81"/>
      <c r="BH483" s="81"/>
      <c r="BI483" s="81"/>
      <c r="BJ483" s="81"/>
      <c r="BK483" s="82">
        <v>0</v>
      </c>
      <c r="BL483" s="82">
        <v>0</v>
      </c>
      <c r="BM483" s="82">
        <v>0</v>
      </c>
      <c r="BN483" s="81">
        <f>IF(O483-BK483&gt;0,O483-BK483,0)</f>
        <v>0</v>
      </c>
      <c r="BO483" s="75">
        <f>IF(Q483-BM483&gt;0,Q483-BM483,0)</f>
        <v>0</v>
      </c>
      <c r="BP483" s="81">
        <f>IF(BN483+BO483&gt;0,BN483+BO483,0)</f>
        <v>0</v>
      </c>
      <c r="BQ483" s="81">
        <f>IF(U483=0,0,U483)</f>
        <v>0</v>
      </c>
      <c r="BR483" s="81">
        <f>IF(W483=0,0,W483)</f>
        <v>0</v>
      </c>
      <c r="BS483" s="81">
        <f>IF(BQ483+BR483&gt;0,BQ483+BR483,0)</f>
        <v>0</v>
      </c>
      <c r="BT483" s="81">
        <f>IF(V483&gt;0,V483,0)</f>
        <v>0</v>
      </c>
      <c r="BU483" s="81">
        <f>IF(BP483=0,0,BP483)</f>
        <v>0</v>
      </c>
      <c r="BV483" s="81">
        <f>IF(BS483=0,0,BS483)</f>
        <v>0</v>
      </c>
      <c r="BW483" s="81">
        <f>IF(BP483+BT483+BV483&gt;0,BP483+BT483+BV483,0)</f>
        <v>0</v>
      </c>
      <c r="BX483" s="1"/>
      <c r="BY483" s="1"/>
      <c r="BZ483" s="1"/>
      <c r="CA483" s="1"/>
      <c r="CB483" s="1"/>
      <c r="CC483" s="1"/>
      <c r="CD483" s="1"/>
      <c r="CE483" s="1"/>
      <c r="CF483" s="1"/>
      <c r="CG483" s="1"/>
    </row>
    <row r="484" spans="1:85" ht="15.75" customHeight="1">
      <c r="A484" s="270"/>
      <c r="B484" s="271"/>
      <c r="C484" s="272"/>
      <c r="D484" s="112" t="s">
        <v>365</v>
      </c>
      <c r="E484" s="58">
        <f t="shared" ref="E484:H484" si="2222">E485</f>
        <v>0</v>
      </c>
      <c r="F484" s="59">
        <f t="shared" si="2222"/>
        <v>0</v>
      </c>
      <c r="G484" s="59">
        <f t="shared" si="2222"/>
        <v>0</v>
      </c>
      <c r="H484" s="59">
        <f t="shared" si="2222"/>
        <v>0</v>
      </c>
      <c r="I484" s="60">
        <f t="shared" si="1737"/>
        <v>0</v>
      </c>
      <c r="J484" s="60">
        <f t="shared" si="1738"/>
        <v>0</v>
      </c>
      <c r="K484" s="59">
        <f t="shared" ref="K484:W484" si="2223">K485</f>
        <v>0</v>
      </c>
      <c r="L484" s="59">
        <f t="shared" si="2223"/>
        <v>0</v>
      </c>
      <c r="M484" s="59">
        <f t="shared" si="2223"/>
        <v>0</v>
      </c>
      <c r="N484" s="59">
        <f t="shared" si="2223"/>
        <v>0</v>
      </c>
      <c r="O484" s="59">
        <f t="shared" si="2223"/>
        <v>0</v>
      </c>
      <c r="P484" s="59">
        <f t="shared" si="2223"/>
        <v>0</v>
      </c>
      <c r="Q484" s="59">
        <f t="shared" si="2223"/>
        <v>0</v>
      </c>
      <c r="R484" s="59">
        <f t="shared" si="2223"/>
        <v>0</v>
      </c>
      <c r="S484" s="59">
        <f t="shared" si="2223"/>
        <v>0</v>
      </c>
      <c r="T484" s="59">
        <f t="shared" si="2223"/>
        <v>0</v>
      </c>
      <c r="U484" s="59">
        <f t="shared" si="2223"/>
        <v>0</v>
      </c>
      <c r="V484" s="59">
        <f t="shared" si="2223"/>
        <v>0</v>
      </c>
      <c r="W484" s="59">
        <f t="shared" si="2223"/>
        <v>0</v>
      </c>
      <c r="X484" s="63">
        <f t="shared" ref="X484:Y484" si="2224">IF(O484&gt;0,O484/K484,0)</f>
        <v>0</v>
      </c>
      <c r="Y484" s="63">
        <f t="shared" si="2224"/>
        <v>0</v>
      </c>
      <c r="Z484" s="63">
        <f t="shared" si="1518"/>
        <v>0</v>
      </c>
      <c r="AA484" s="59">
        <f t="shared" ref="AA484:BW484" si="2225">AA485</f>
        <v>0</v>
      </c>
      <c r="AB484" s="59">
        <f t="shared" si="2225"/>
        <v>0</v>
      </c>
      <c r="AC484" s="59">
        <f t="shared" si="2225"/>
        <v>0</v>
      </c>
      <c r="AD484" s="59">
        <f t="shared" si="2225"/>
        <v>0</v>
      </c>
      <c r="AE484" s="59">
        <f t="shared" si="2225"/>
        <v>0</v>
      </c>
      <c r="AF484" s="59">
        <f t="shared" si="2225"/>
        <v>0</v>
      </c>
      <c r="AG484" s="59">
        <f t="shared" si="2225"/>
        <v>0</v>
      </c>
      <c r="AH484" s="59">
        <f t="shared" si="2225"/>
        <v>0</v>
      </c>
      <c r="AI484" s="59">
        <f t="shared" si="2225"/>
        <v>0</v>
      </c>
      <c r="AJ484" s="59">
        <f t="shared" si="2225"/>
        <v>0</v>
      </c>
      <c r="AK484" s="59">
        <f t="shared" si="2225"/>
        <v>0</v>
      </c>
      <c r="AL484" s="59">
        <f t="shared" si="2225"/>
        <v>0</v>
      </c>
      <c r="AM484" s="59">
        <f t="shared" si="2225"/>
        <v>0</v>
      </c>
      <c r="AN484" s="59">
        <f t="shared" si="2225"/>
        <v>0</v>
      </c>
      <c r="AO484" s="59">
        <f t="shared" si="2225"/>
        <v>0</v>
      </c>
      <c r="AP484" s="59">
        <f t="shared" si="2225"/>
        <v>0</v>
      </c>
      <c r="AQ484" s="59">
        <f t="shared" si="2225"/>
        <v>0</v>
      </c>
      <c r="AR484" s="59">
        <f t="shared" si="2225"/>
        <v>0</v>
      </c>
      <c r="AS484" s="59">
        <f t="shared" si="2225"/>
        <v>0</v>
      </c>
      <c r="AT484" s="59">
        <f t="shared" si="2225"/>
        <v>0</v>
      </c>
      <c r="AU484" s="59">
        <f t="shared" si="2225"/>
        <v>0</v>
      </c>
      <c r="AV484" s="59">
        <f t="shared" si="2225"/>
        <v>0</v>
      </c>
      <c r="AW484" s="59">
        <f t="shared" si="2225"/>
        <v>0</v>
      </c>
      <c r="AX484" s="59">
        <f t="shared" si="2225"/>
        <v>0</v>
      </c>
      <c r="AY484" s="59">
        <f t="shared" si="2225"/>
        <v>0</v>
      </c>
      <c r="AZ484" s="59">
        <f t="shared" si="2225"/>
        <v>0</v>
      </c>
      <c r="BA484" s="59">
        <f t="shared" si="2225"/>
        <v>0</v>
      </c>
      <c r="BB484" s="59">
        <f t="shared" si="2225"/>
        <v>0</v>
      </c>
      <c r="BC484" s="59">
        <f t="shared" si="2225"/>
        <v>0</v>
      </c>
      <c r="BD484" s="59">
        <f t="shared" si="2225"/>
        <v>0</v>
      </c>
      <c r="BE484" s="59">
        <f t="shared" si="2225"/>
        <v>0</v>
      </c>
      <c r="BF484" s="59">
        <f t="shared" si="2225"/>
        <v>0</v>
      </c>
      <c r="BG484" s="59">
        <f t="shared" si="2225"/>
        <v>0</v>
      </c>
      <c r="BH484" s="59">
        <f t="shared" si="2225"/>
        <v>0</v>
      </c>
      <c r="BI484" s="59">
        <f t="shared" si="2225"/>
        <v>0</v>
      </c>
      <c r="BJ484" s="59">
        <f t="shared" si="2225"/>
        <v>0</v>
      </c>
      <c r="BK484" s="59">
        <f t="shared" si="2225"/>
        <v>0</v>
      </c>
      <c r="BL484" s="59">
        <f t="shared" si="2225"/>
        <v>0</v>
      </c>
      <c r="BM484" s="59">
        <f t="shared" si="2225"/>
        <v>0</v>
      </c>
      <c r="BN484" s="59">
        <f t="shared" si="2225"/>
        <v>0</v>
      </c>
      <c r="BO484" s="59">
        <f t="shared" si="2225"/>
        <v>0</v>
      </c>
      <c r="BP484" s="59">
        <f t="shared" si="2225"/>
        <v>0</v>
      </c>
      <c r="BQ484" s="59">
        <f t="shared" si="2225"/>
        <v>0</v>
      </c>
      <c r="BR484" s="59">
        <f t="shared" si="2225"/>
        <v>0</v>
      </c>
      <c r="BS484" s="59">
        <f t="shared" si="2225"/>
        <v>0</v>
      </c>
      <c r="BT484" s="59">
        <f t="shared" si="2225"/>
        <v>0</v>
      </c>
      <c r="BU484" s="59">
        <f t="shared" si="2225"/>
        <v>0</v>
      </c>
      <c r="BV484" s="59">
        <f t="shared" si="2225"/>
        <v>0</v>
      </c>
      <c r="BW484" s="59">
        <f t="shared" si="2225"/>
        <v>0</v>
      </c>
      <c r="BX484" s="1"/>
      <c r="BY484" s="1"/>
      <c r="BZ484" s="1"/>
      <c r="CA484" s="1"/>
      <c r="CB484" s="1"/>
      <c r="CC484" s="1"/>
      <c r="CD484" s="1"/>
      <c r="CE484" s="1"/>
      <c r="CF484" s="1"/>
      <c r="CG484" s="1"/>
    </row>
    <row r="485" spans="1:85" ht="15.75" customHeight="1">
      <c r="A485" s="297"/>
      <c r="B485" s="321"/>
      <c r="C485" s="129" t="s">
        <v>807</v>
      </c>
      <c r="D485" s="126" t="s">
        <v>808</v>
      </c>
      <c r="E485" s="70"/>
      <c r="F485" s="71"/>
      <c r="G485" s="71">
        <f>E485-F485</f>
        <v>0</v>
      </c>
      <c r="H485" s="70"/>
      <c r="I485" s="72">
        <f t="shared" si="1737"/>
        <v>0</v>
      </c>
      <c r="J485" s="72">
        <f t="shared" si="1738"/>
        <v>0</v>
      </c>
      <c r="K485" s="237"/>
      <c r="L485" s="83"/>
      <c r="M485" s="83"/>
      <c r="N485" s="266"/>
      <c r="O485" s="77">
        <f t="shared" ref="O485:Q485" si="2226">AA485+AD485+AG485+AJ485+AM485+AP485+AS485+AV485+AY485+BB485+BE485+BH485</f>
        <v>0</v>
      </c>
      <c r="P485" s="77">
        <f t="shared" si="2226"/>
        <v>0</v>
      </c>
      <c r="Q485" s="77">
        <f t="shared" si="2226"/>
        <v>0</v>
      </c>
      <c r="R485" s="77">
        <f t="shared" ref="R485:T485" si="2227">IF(BK485=0,SUM(AA485+AD485+AG485+AJ485+AM485+AP485+AS485+AV485+AY485+BB485+BE485+BH485),BK485)</f>
        <v>0</v>
      </c>
      <c r="S485" s="77">
        <f t="shared" si="2227"/>
        <v>0</v>
      </c>
      <c r="T485" s="77">
        <f t="shared" si="2227"/>
        <v>0</v>
      </c>
      <c r="U485" s="79">
        <f>K485-O485</f>
        <v>0</v>
      </c>
      <c r="V485" s="79">
        <f>L485-M485-S485</f>
        <v>0</v>
      </c>
      <c r="W485" s="79">
        <f>N485-Q485</f>
        <v>0</v>
      </c>
      <c r="X485" s="80">
        <f t="shared" ref="X485:Y485" si="2228">IF(O485&gt;0,O485/K485,0)</f>
        <v>0</v>
      </c>
      <c r="Y485" s="80">
        <f t="shared" si="2228"/>
        <v>0</v>
      </c>
      <c r="Z485" s="80">
        <f t="shared" si="1518"/>
        <v>0</v>
      </c>
      <c r="AA485" s="81"/>
      <c r="AB485" s="81"/>
      <c r="AC485" s="81"/>
      <c r="AD485" s="81"/>
      <c r="AE485" s="83"/>
      <c r="AF485" s="83"/>
      <c r="AG485" s="83"/>
      <c r="AH485" s="83"/>
      <c r="AI485" s="81"/>
      <c r="AJ485" s="81"/>
      <c r="AK485" s="81"/>
      <c r="AL485" s="81"/>
      <c r="AM485" s="81"/>
      <c r="AN485" s="81"/>
      <c r="AO485" s="81"/>
      <c r="AP485" s="81"/>
      <c r="AQ485" s="81"/>
      <c r="AR485" s="81"/>
      <c r="AS485" s="81"/>
      <c r="AT485" s="81"/>
      <c r="AU485" s="81"/>
      <c r="AV485" s="81"/>
      <c r="AW485" s="267"/>
      <c r="AX485" s="267"/>
      <c r="AY485" s="267"/>
      <c r="AZ485" s="267"/>
      <c r="BA485" s="267"/>
      <c r="BB485" s="267"/>
      <c r="BC485" s="267"/>
      <c r="BD485" s="267"/>
      <c r="BE485" s="267"/>
      <c r="BF485" s="267"/>
      <c r="BG485" s="267"/>
      <c r="BH485" s="267"/>
      <c r="BI485" s="267"/>
      <c r="BJ485" s="267"/>
      <c r="BK485" s="82">
        <v>0</v>
      </c>
      <c r="BL485" s="82">
        <v>0</v>
      </c>
      <c r="BM485" s="82">
        <v>0</v>
      </c>
      <c r="BN485" s="81">
        <f>IF(O485-BK485&gt;0,O485-BK485,0)</f>
        <v>0</v>
      </c>
      <c r="BO485" s="75">
        <f>IF(Q485-BM485&gt;0,Q485-BM485,0)</f>
        <v>0</v>
      </c>
      <c r="BP485" s="81">
        <f>IF(BN485+BO485&gt;0,BN485+BO485,0)</f>
        <v>0</v>
      </c>
      <c r="BQ485" s="81">
        <f>IF(U485=0,0,U485)</f>
        <v>0</v>
      </c>
      <c r="BR485" s="81">
        <f>IF(W485=0,0,W485)</f>
        <v>0</v>
      </c>
      <c r="BS485" s="81">
        <f>IF(BQ485+BR485&gt;0,BQ485+BR485,0)</f>
        <v>0</v>
      </c>
      <c r="BT485" s="81">
        <f>IF(V485&gt;0,V485,0)</f>
        <v>0</v>
      </c>
      <c r="BU485" s="81">
        <f>IF(BP485=0,0,BP485)</f>
        <v>0</v>
      </c>
      <c r="BV485" s="81">
        <f>IF(BS485=0,0,BS485)</f>
        <v>0</v>
      </c>
      <c r="BW485" s="81">
        <f>IF(BP485+BT485+BV485&gt;0,BP485+BT485+BV485,0)</f>
        <v>0</v>
      </c>
      <c r="BX485" s="1"/>
      <c r="BY485" s="1"/>
      <c r="BZ485" s="1"/>
      <c r="CA485" s="1"/>
      <c r="CB485" s="1"/>
      <c r="CC485" s="1"/>
      <c r="CD485" s="1"/>
      <c r="CE485" s="1"/>
      <c r="CF485" s="1"/>
      <c r="CG485" s="1"/>
    </row>
    <row r="486" spans="1:85" ht="15.75" customHeight="1">
      <c r="A486" s="323"/>
      <c r="B486" s="101"/>
      <c r="C486" s="102"/>
      <c r="D486" s="103" t="s">
        <v>809</v>
      </c>
      <c r="E486" s="104">
        <f t="shared" ref="E486:H486" si="2229">SUM(E487:E489)</f>
        <v>0</v>
      </c>
      <c r="F486" s="371">
        <f t="shared" si="2229"/>
        <v>0</v>
      </c>
      <c r="G486" s="371">
        <f t="shared" si="2229"/>
        <v>0</v>
      </c>
      <c r="H486" s="251">
        <f t="shared" si="2229"/>
        <v>0</v>
      </c>
      <c r="I486" s="105">
        <f t="shared" si="1737"/>
        <v>0</v>
      </c>
      <c r="J486" s="105">
        <f t="shared" si="1738"/>
        <v>0</v>
      </c>
      <c r="K486" s="251">
        <f t="shared" ref="K486:Q486" si="2230">SUM(K487:K489)</f>
        <v>0</v>
      </c>
      <c r="L486" s="371">
        <f t="shared" si="2230"/>
        <v>0</v>
      </c>
      <c r="M486" s="371">
        <f t="shared" si="2230"/>
        <v>0</v>
      </c>
      <c r="N486" s="251">
        <f t="shared" si="2230"/>
        <v>0</v>
      </c>
      <c r="O486" s="371">
        <f t="shared" si="2230"/>
        <v>0</v>
      </c>
      <c r="P486" s="371">
        <f t="shared" si="2230"/>
        <v>0</v>
      </c>
      <c r="Q486" s="371">
        <f t="shared" si="2230"/>
        <v>0</v>
      </c>
      <c r="R486" s="380">
        <f t="shared" ref="R486:T486" si="2231">IF(BK486=0,SUM(AA486+AD486+AG486+AJ486+AM486+AP486+AS486+AV486+AY486+BB486+BE486+BH486),BK486)</f>
        <v>0</v>
      </c>
      <c r="S486" s="380">
        <f t="shared" si="2231"/>
        <v>0</v>
      </c>
      <c r="T486" s="380">
        <f t="shared" si="2231"/>
        <v>0</v>
      </c>
      <c r="U486" s="251">
        <f t="shared" ref="U486:W486" si="2232">SUM(U487:U489)</f>
        <v>0</v>
      </c>
      <c r="V486" s="251">
        <f t="shared" si="2232"/>
        <v>0</v>
      </c>
      <c r="W486" s="251">
        <f t="shared" si="2232"/>
        <v>0</v>
      </c>
      <c r="X486" s="106">
        <f t="shared" ref="X486:Y486" si="2233">IF(O486&gt;0,O486/K486,0)</f>
        <v>0</v>
      </c>
      <c r="Y486" s="106">
        <f t="shared" si="2233"/>
        <v>0</v>
      </c>
      <c r="Z486" s="106">
        <f t="shared" si="1518"/>
        <v>0</v>
      </c>
      <c r="AA486" s="371">
        <f t="shared" ref="AA486:BW486" si="2234">SUM(AA487:AA489)</f>
        <v>0</v>
      </c>
      <c r="AB486" s="371">
        <f t="shared" si="2234"/>
        <v>0</v>
      </c>
      <c r="AC486" s="371">
        <f t="shared" si="2234"/>
        <v>0</v>
      </c>
      <c r="AD486" s="371">
        <f t="shared" si="2234"/>
        <v>0</v>
      </c>
      <c r="AE486" s="371">
        <f t="shared" si="2234"/>
        <v>0</v>
      </c>
      <c r="AF486" s="371">
        <f t="shared" si="2234"/>
        <v>0</v>
      </c>
      <c r="AG486" s="371">
        <f t="shared" si="2234"/>
        <v>0</v>
      </c>
      <c r="AH486" s="371">
        <f t="shared" si="2234"/>
        <v>0</v>
      </c>
      <c r="AI486" s="371">
        <f t="shared" si="2234"/>
        <v>0</v>
      </c>
      <c r="AJ486" s="371">
        <f t="shared" si="2234"/>
        <v>0</v>
      </c>
      <c r="AK486" s="371">
        <f t="shared" si="2234"/>
        <v>0</v>
      </c>
      <c r="AL486" s="371">
        <f t="shared" si="2234"/>
        <v>0</v>
      </c>
      <c r="AM486" s="371">
        <f t="shared" si="2234"/>
        <v>0</v>
      </c>
      <c r="AN486" s="371">
        <f t="shared" si="2234"/>
        <v>0</v>
      </c>
      <c r="AO486" s="371">
        <f t="shared" si="2234"/>
        <v>0</v>
      </c>
      <c r="AP486" s="371">
        <f t="shared" si="2234"/>
        <v>0</v>
      </c>
      <c r="AQ486" s="371">
        <f t="shared" si="2234"/>
        <v>0</v>
      </c>
      <c r="AR486" s="371">
        <f t="shared" si="2234"/>
        <v>0</v>
      </c>
      <c r="AS486" s="371">
        <f t="shared" si="2234"/>
        <v>0</v>
      </c>
      <c r="AT486" s="371">
        <f t="shared" si="2234"/>
        <v>0</v>
      </c>
      <c r="AU486" s="371">
        <f t="shared" si="2234"/>
        <v>0</v>
      </c>
      <c r="AV486" s="371">
        <f t="shared" si="2234"/>
        <v>0</v>
      </c>
      <c r="AW486" s="371">
        <f t="shared" si="2234"/>
        <v>0</v>
      </c>
      <c r="AX486" s="371">
        <f t="shared" si="2234"/>
        <v>0</v>
      </c>
      <c r="AY486" s="371">
        <f t="shared" si="2234"/>
        <v>0</v>
      </c>
      <c r="AZ486" s="371">
        <f t="shared" si="2234"/>
        <v>0</v>
      </c>
      <c r="BA486" s="371">
        <f t="shared" si="2234"/>
        <v>0</v>
      </c>
      <c r="BB486" s="371">
        <f t="shared" si="2234"/>
        <v>0</v>
      </c>
      <c r="BC486" s="371">
        <f t="shared" si="2234"/>
        <v>0</v>
      </c>
      <c r="BD486" s="371">
        <f t="shared" si="2234"/>
        <v>0</v>
      </c>
      <c r="BE486" s="371">
        <f t="shared" si="2234"/>
        <v>0</v>
      </c>
      <c r="BF486" s="371">
        <f t="shared" si="2234"/>
        <v>0</v>
      </c>
      <c r="BG486" s="371">
        <f t="shared" si="2234"/>
        <v>0</v>
      </c>
      <c r="BH486" s="371">
        <f t="shared" si="2234"/>
        <v>0</v>
      </c>
      <c r="BI486" s="371">
        <f t="shared" si="2234"/>
        <v>0</v>
      </c>
      <c r="BJ486" s="371">
        <f t="shared" si="2234"/>
        <v>0</v>
      </c>
      <c r="BK486" s="371">
        <f t="shared" si="2234"/>
        <v>0</v>
      </c>
      <c r="BL486" s="371">
        <f t="shared" si="2234"/>
        <v>0</v>
      </c>
      <c r="BM486" s="371">
        <f t="shared" si="2234"/>
        <v>0</v>
      </c>
      <c r="BN486" s="371">
        <f t="shared" si="2234"/>
        <v>0</v>
      </c>
      <c r="BO486" s="371">
        <f t="shared" si="2234"/>
        <v>0</v>
      </c>
      <c r="BP486" s="371">
        <f t="shared" si="2234"/>
        <v>0</v>
      </c>
      <c r="BQ486" s="371">
        <f t="shared" si="2234"/>
        <v>0</v>
      </c>
      <c r="BR486" s="371">
        <f t="shared" si="2234"/>
        <v>0</v>
      </c>
      <c r="BS486" s="371">
        <f t="shared" si="2234"/>
        <v>0</v>
      </c>
      <c r="BT486" s="371">
        <f t="shared" si="2234"/>
        <v>0</v>
      </c>
      <c r="BU486" s="371">
        <f t="shared" si="2234"/>
        <v>0</v>
      </c>
      <c r="BV486" s="371">
        <f t="shared" si="2234"/>
        <v>0</v>
      </c>
      <c r="BW486" s="371">
        <f t="shared" si="2234"/>
        <v>0</v>
      </c>
      <c r="BX486" s="1"/>
      <c r="BY486" s="1"/>
      <c r="BZ486" s="1"/>
      <c r="CA486" s="1"/>
      <c r="CB486" s="1"/>
      <c r="CC486" s="1"/>
      <c r="CD486" s="1"/>
      <c r="CE486" s="1"/>
      <c r="CF486" s="1"/>
      <c r="CG486" s="1"/>
    </row>
    <row r="487" spans="1:85" ht="15.75" customHeight="1">
      <c r="A487" s="113"/>
      <c r="B487" s="114"/>
      <c r="C487" s="68"/>
      <c r="D487" s="69"/>
      <c r="E487" s="70"/>
      <c r="F487" s="71"/>
      <c r="G487" s="71">
        <f t="shared" ref="G487:G489" si="2235">E487-F487</f>
        <v>0</v>
      </c>
      <c r="H487" s="70"/>
      <c r="I487" s="72">
        <f t="shared" si="1737"/>
        <v>0</v>
      </c>
      <c r="J487" s="72">
        <f t="shared" si="1738"/>
        <v>0</v>
      </c>
      <c r="K487" s="88"/>
      <c r="L487" s="74"/>
      <c r="M487" s="75"/>
      <c r="N487" s="76"/>
      <c r="O487" s="77">
        <f t="shared" ref="O487:Q487" si="2236">AA487+AD487+AG487+AJ487+AM487+AP487+AS487+AV487+AY487+BB487+BE487+BH487</f>
        <v>0</v>
      </c>
      <c r="P487" s="77">
        <f t="shared" si="2236"/>
        <v>0</v>
      </c>
      <c r="Q487" s="77">
        <f t="shared" si="2236"/>
        <v>0</v>
      </c>
      <c r="R487" s="77">
        <f t="shared" ref="R487:T487" si="2237">IF(BK487=0,SUM(AA487+AD487+AG487+AJ487+AM487+AP487+AS487+AV487+AY487+BB487+BE487+BH487),BK487)</f>
        <v>0</v>
      </c>
      <c r="S487" s="77">
        <f t="shared" si="2237"/>
        <v>0</v>
      </c>
      <c r="T487" s="77">
        <f t="shared" si="2237"/>
        <v>0</v>
      </c>
      <c r="U487" s="79">
        <f t="shared" ref="U487:U489" si="2238">K487-O487</f>
        <v>0</v>
      </c>
      <c r="V487" s="79">
        <f t="shared" ref="V487:V489" si="2239">L487-M487-S487</f>
        <v>0</v>
      </c>
      <c r="W487" s="79">
        <f t="shared" ref="W487:W489" si="2240">N487-Q487</f>
        <v>0</v>
      </c>
      <c r="X487" s="80">
        <f t="shared" ref="X487:Y487" si="2241">IF(O487&gt;0,O487/K487,0)</f>
        <v>0</v>
      </c>
      <c r="Y487" s="80">
        <f t="shared" si="2241"/>
        <v>0</v>
      </c>
      <c r="Z487" s="80">
        <f t="shared" si="1518"/>
        <v>0</v>
      </c>
      <c r="AA487" s="81"/>
      <c r="AB487" s="81"/>
      <c r="AC487" s="81"/>
      <c r="AD487" s="81"/>
      <c r="AE487" s="83"/>
      <c r="AF487" s="83"/>
      <c r="AG487" s="83"/>
      <c r="AH487" s="83"/>
      <c r="AI487" s="81"/>
      <c r="AJ487" s="81"/>
      <c r="AK487" s="81"/>
      <c r="AL487" s="81"/>
      <c r="AM487" s="81"/>
      <c r="AN487" s="81"/>
      <c r="AO487" s="81"/>
      <c r="AP487" s="81"/>
      <c r="AQ487" s="81"/>
      <c r="AR487" s="81"/>
      <c r="AS487" s="81"/>
      <c r="AT487" s="81"/>
      <c r="AU487" s="81"/>
      <c r="AV487" s="81"/>
      <c r="AW487" s="81"/>
      <c r="AX487" s="81"/>
      <c r="AY487" s="81"/>
      <c r="AZ487" s="81"/>
      <c r="BA487" s="81"/>
      <c r="BB487" s="81"/>
      <c r="BC487" s="81"/>
      <c r="BD487" s="81"/>
      <c r="BE487" s="81"/>
      <c r="BF487" s="81"/>
      <c r="BG487" s="81"/>
      <c r="BH487" s="75"/>
      <c r="BI487" s="81"/>
      <c r="BJ487" s="81"/>
      <c r="BK487" s="82">
        <v>0</v>
      </c>
      <c r="BL487" s="82">
        <v>0</v>
      </c>
      <c r="BM487" s="82">
        <v>0</v>
      </c>
      <c r="BN487" s="81">
        <f t="shared" ref="BN487:BN489" si="2242">IF(O487-BK487&gt;0,O487-BK487,0)</f>
        <v>0</v>
      </c>
      <c r="BO487" s="75">
        <f t="shared" ref="BO487:BO489" si="2243">IF(Q487-BM487&gt;0,Q487-BM487,0)</f>
        <v>0</v>
      </c>
      <c r="BP487" s="81">
        <f t="shared" ref="BP487:BP489" si="2244">IF(BN487+BO487&gt;0,BN487+BO487,0)</f>
        <v>0</v>
      </c>
      <c r="BQ487" s="81">
        <f t="shared" ref="BQ487:BQ489" si="2245">IF(U487=0,0,U487)</f>
        <v>0</v>
      </c>
      <c r="BR487" s="81">
        <f t="shared" ref="BR487:BR489" si="2246">IF(W487=0,0,W487)</f>
        <v>0</v>
      </c>
      <c r="BS487" s="81">
        <f t="shared" ref="BS487:BS489" si="2247">IF(BQ487+BR487&gt;0,BQ487+BR487,0)</f>
        <v>0</v>
      </c>
      <c r="BT487" s="81">
        <f t="shared" ref="BT487:BT489" si="2248">IF(V487&gt;0,V487,0)</f>
        <v>0</v>
      </c>
      <c r="BU487" s="81">
        <f t="shared" ref="BU487:BU489" si="2249">IF(BP487=0,0,BP487)</f>
        <v>0</v>
      </c>
      <c r="BV487" s="81">
        <f t="shared" ref="BV487:BV489" si="2250">IF(BS487=0,0,BS487)</f>
        <v>0</v>
      </c>
      <c r="BW487" s="81">
        <f t="shared" ref="BW487:BW489" si="2251">IF(BP487+BT487+BV487&gt;0,BP487+BT487+BV487,0)</f>
        <v>0</v>
      </c>
      <c r="BX487" s="1"/>
      <c r="BY487" s="1"/>
      <c r="BZ487" s="1"/>
      <c r="CA487" s="1"/>
      <c r="CB487" s="1"/>
      <c r="CC487" s="1"/>
      <c r="CD487" s="1"/>
      <c r="CE487" s="1"/>
      <c r="CF487" s="1"/>
      <c r="CG487" s="1"/>
    </row>
    <row r="488" spans="1:85" ht="15.75" customHeight="1">
      <c r="A488" s="84"/>
      <c r="B488" s="115"/>
      <c r="C488" s="86"/>
      <c r="D488" s="87"/>
      <c r="E488" s="70"/>
      <c r="F488" s="71"/>
      <c r="G488" s="71">
        <f t="shared" si="2235"/>
        <v>0</v>
      </c>
      <c r="H488" s="70"/>
      <c r="I488" s="72">
        <f t="shared" si="1737"/>
        <v>0</v>
      </c>
      <c r="J488" s="72">
        <f t="shared" si="1738"/>
        <v>0</v>
      </c>
      <c r="K488" s="88"/>
      <c r="L488" s="74"/>
      <c r="M488" s="75"/>
      <c r="N488" s="76"/>
      <c r="O488" s="77">
        <f t="shared" ref="O488:Q488" si="2252">AA488+AD488+AG488+AJ488+AM488+AP488+AS488+AV488+AY488+BB488+BE488+BH488</f>
        <v>0</v>
      </c>
      <c r="P488" s="77">
        <f t="shared" si="2252"/>
        <v>0</v>
      </c>
      <c r="Q488" s="77">
        <f t="shared" si="2252"/>
        <v>0</v>
      </c>
      <c r="R488" s="77">
        <f t="shared" ref="R488:T488" si="2253">IF(BK488=0,SUM(AA488+AD488+AG488+AJ488+AM488+AP488+AS488+AV488+AY488+BB488+BE488+BH488),BK488)</f>
        <v>0</v>
      </c>
      <c r="S488" s="77">
        <f t="shared" si="2253"/>
        <v>0</v>
      </c>
      <c r="T488" s="77">
        <f t="shared" si="2253"/>
        <v>0</v>
      </c>
      <c r="U488" s="79">
        <f t="shared" si="2238"/>
        <v>0</v>
      </c>
      <c r="V488" s="79">
        <f t="shared" si="2239"/>
        <v>0</v>
      </c>
      <c r="W488" s="79">
        <f t="shared" si="2240"/>
        <v>0</v>
      </c>
      <c r="X488" s="80">
        <f t="shared" ref="X488:Y488" si="2254">IF(O488&gt;0,O488/K488,0)</f>
        <v>0</v>
      </c>
      <c r="Y488" s="80">
        <f t="shared" si="2254"/>
        <v>0</v>
      </c>
      <c r="Z488" s="80">
        <f t="shared" si="1518"/>
        <v>0</v>
      </c>
      <c r="AA488" s="81"/>
      <c r="AB488" s="81"/>
      <c r="AC488" s="81"/>
      <c r="AD488" s="81"/>
      <c r="AE488" s="83"/>
      <c r="AF488" s="83"/>
      <c r="AG488" s="83"/>
      <c r="AH488" s="83"/>
      <c r="AI488" s="81"/>
      <c r="AJ488" s="81"/>
      <c r="AK488" s="81"/>
      <c r="AL488" s="81"/>
      <c r="AM488" s="81"/>
      <c r="AN488" s="81"/>
      <c r="AO488" s="81"/>
      <c r="AP488" s="81"/>
      <c r="AQ488" s="81"/>
      <c r="AR488" s="81"/>
      <c r="AS488" s="81"/>
      <c r="AT488" s="81"/>
      <c r="AU488" s="74"/>
      <c r="AV488" s="81"/>
      <c r="AW488" s="81"/>
      <c r="AX488" s="81"/>
      <c r="AY488" s="81"/>
      <c r="AZ488" s="81"/>
      <c r="BA488" s="81"/>
      <c r="BB488" s="81"/>
      <c r="BC488" s="81"/>
      <c r="BD488" s="81"/>
      <c r="BE488" s="81"/>
      <c r="BF488" s="81"/>
      <c r="BG488" s="81"/>
      <c r="BH488" s="81"/>
      <c r="BI488" s="81"/>
      <c r="BJ488" s="81"/>
      <c r="BK488" s="82">
        <v>0</v>
      </c>
      <c r="BL488" s="82">
        <v>0</v>
      </c>
      <c r="BM488" s="82">
        <v>0</v>
      </c>
      <c r="BN488" s="81">
        <f t="shared" si="2242"/>
        <v>0</v>
      </c>
      <c r="BO488" s="75">
        <f t="shared" si="2243"/>
        <v>0</v>
      </c>
      <c r="BP488" s="81">
        <f t="shared" si="2244"/>
        <v>0</v>
      </c>
      <c r="BQ488" s="81">
        <f t="shared" si="2245"/>
        <v>0</v>
      </c>
      <c r="BR488" s="81">
        <f t="shared" si="2246"/>
        <v>0</v>
      </c>
      <c r="BS488" s="81">
        <f t="shared" si="2247"/>
        <v>0</v>
      </c>
      <c r="BT488" s="81">
        <f t="shared" si="2248"/>
        <v>0</v>
      </c>
      <c r="BU488" s="81">
        <f t="shared" si="2249"/>
        <v>0</v>
      </c>
      <c r="BV488" s="81">
        <f t="shared" si="2250"/>
        <v>0</v>
      </c>
      <c r="BW488" s="81">
        <f t="shared" si="2251"/>
        <v>0</v>
      </c>
      <c r="BX488" s="1"/>
      <c r="BY488" s="1"/>
      <c r="BZ488" s="1"/>
      <c r="CA488" s="1"/>
      <c r="CB488" s="1"/>
      <c r="CC488" s="1"/>
      <c r="CD488" s="1"/>
      <c r="CE488" s="1"/>
      <c r="CF488" s="1"/>
      <c r="CG488" s="1"/>
    </row>
    <row r="489" spans="1:85" ht="15.75" customHeight="1">
      <c r="A489" s="108"/>
      <c r="B489" s="90"/>
      <c r="C489" s="91"/>
      <c r="D489" s="92"/>
      <c r="E489" s="70"/>
      <c r="F489" s="71"/>
      <c r="G489" s="71">
        <f t="shared" si="2235"/>
        <v>0</v>
      </c>
      <c r="H489" s="70"/>
      <c r="I489" s="72">
        <f t="shared" si="1737"/>
        <v>0</v>
      </c>
      <c r="J489" s="72">
        <f t="shared" si="1738"/>
        <v>0</v>
      </c>
      <c r="K489" s="107"/>
      <c r="L489" s="74"/>
      <c r="M489" s="81"/>
      <c r="N489" s="107"/>
      <c r="O489" s="77">
        <f t="shared" ref="O489:Q489" si="2255">AA489+AD489+AG489+AJ489+AM489+AP489+AS489+AV489+AY489+BB489+BE489+BH489</f>
        <v>0</v>
      </c>
      <c r="P489" s="77">
        <f t="shared" si="2255"/>
        <v>0</v>
      </c>
      <c r="Q489" s="77">
        <f t="shared" si="2255"/>
        <v>0</v>
      </c>
      <c r="R489" s="77">
        <f t="shared" ref="R489:T489" si="2256">IF(BK489=0,SUM(AA489+AD489+AG489+AJ489+AM489+AP489+AS489+AV489+AY489+BB489+BE489+BH489),BK489)</f>
        <v>0</v>
      </c>
      <c r="S489" s="77">
        <f t="shared" si="2256"/>
        <v>0</v>
      </c>
      <c r="T489" s="77">
        <f t="shared" si="2256"/>
        <v>0</v>
      </c>
      <c r="U489" s="79">
        <f t="shared" si="2238"/>
        <v>0</v>
      </c>
      <c r="V489" s="79">
        <f t="shared" si="2239"/>
        <v>0</v>
      </c>
      <c r="W489" s="79">
        <f t="shared" si="2240"/>
        <v>0</v>
      </c>
      <c r="X489" s="80">
        <f t="shared" ref="X489:Y489" si="2257">IF(O489&gt;0,O489/K489,0)</f>
        <v>0</v>
      </c>
      <c r="Y489" s="80">
        <f t="shared" si="2257"/>
        <v>0</v>
      </c>
      <c r="Z489" s="80">
        <f t="shared" si="1518"/>
        <v>0</v>
      </c>
      <c r="AA489" s="81"/>
      <c r="AB489" s="81"/>
      <c r="AC489" s="81"/>
      <c r="AD489" s="81"/>
      <c r="AE489" s="83"/>
      <c r="AF489" s="83"/>
      <c r="AG489" s="83"/>
      <c r="AH489" s="83"/>
      <c r="AI489" s="81"/>
      <c r="AJ489" s="81"/>
      <c r="AK489" s="81"/>
      <c r="AL489" s="81"/>
      <c r="AM489" s="81"/>
      <c r="AN489" s="81"/>
      <c r="AO489" s="81"/>
      <c r="AP489" s="81"/>
      <c r="AQ489" s="81"/>
      <c r="AR489" s="81"/>
      <c r="AS489" s="81"/>
      <c r="AT489" s="81"/>
      <c r="AU489" s="81"/>
      <c r="AV489" s="81"/>
      <c r="AW489" s="81"/>
      <c r="AX489" s="81"/>
      <c r="AY489" s="81"/>
      <c r="AZ489" s="81"/>
      <c r="BA489" s="81"/>
      <c r="BB489" s="81"/>
      <c r="BC489" s="81"/>
      <c r="BD489" s="81"/>
      <c r="BE489" s="81"/>
      <c r="BF489" s="81"/>
      <c r="BG489" s="81"/>
      <c r="BH489" s="81"/>
      <c r="BI489" s="81"/>
      <c r="BJ489" s="81"/>
      <c r="BK489" s="82">
        <v>0</v>
      </c>
      <c r="BL489" s="82">
        <v>0</v>
      </c>
      <c r="BM489" s="82">
        <v>0</v>
      </c>
      <c r="BN489" s="81">
        <f t="shared" si="2242"/>
        <v>0</v>
      </c>
      <c r="BO489" s="75">
        <f t="shared" si="2243"/>
        <v>0</v>
      </c>
      <c r="BP489" s="81">
        <f t="shared" si="2244"/>
        <v>0</v>
      </c>
      <c r="BQ489" s="81">
        <f t="shared" si="2245"/>
        <v>0</v>
      </c>
      <c r="BR489" s="81">
        <f t="shared" si="2246"/>
        <v>0</v>
      </c>
      <c r="BS489" s="81">
        <f t="shared" si="2247"/>
        <v>0</v>
      </c>
      <c r="BT489" s="81">
        <f t="shared" si="2248"/>
        <v>0</v>
      </c>
      <c r="BU489" s="81">
        <f t="shared" si="2249"/>
        <v>0</v>
      </c>
      <c r="BV489" s="81">
        <f t="shared" si="2250"/>
        <v>0</v>
      </c>
      <c r="BW489" s="81">
        <f t="shared" si="2251"/>
        <v>0</v>
      </c>
      <c r="BX489" s="1"/>
      <c r="BY489" s="1"/>
      <c r="BZ489" s="1"/>
      <c r="CA489" s="1"/>
      <c r="CB489" s="1"/>
      <c r="CC489" s="1"/>
      <c r="CD489" s="1"/>
      <c r="CE489" s="1"/>
      <c r="CF489" s="1"/>
      <c r="CG489" s="1"/>
    </row>
    <row r="490" spans="1:85" ht="15.75" customHeight="1">
      <c r="A490" s="100"/>
      <c r="B490" s="101"/>
      <c r="C490" s="102"/>
      <c r="D490" s="195" t="s">
        <v>376</v>
      </c>
      <c r="E490" s="104">
        <f t="shared" ref="E490:H490" si="2258">E491+E493+E495+E498+E502+E505</f>
        <v>0</v>
      </c>
      <c r="F490" s="104">
        <f t="shared" si="2258"/>
        <v>0</v>
      </c>
      <c r="G490" s="104">
        <f t="shared" si="2258"/>
        <v>0</v>
      </c>
      <c r="H490" s="104">
        <f t="shared" si="2258"/>
        <v>2150000</v>
      </c>
      <c r="I490" s="105">
        <f t="shared" si="1737"/>
        <v>0</v>
      </c>
      <c r="J490" s="105">
        <f t="shared" si="1738"/>
        <v>0</v>
      </c>
      <c r="K490" s="104">
        <f t="shared" ref="K490:W490" si="2259">K491+K493+K495+K498+K502+K505</f>
        <v>0</v>
      </c>
      <c r="L490" s="104">
        <f t="shared" si="2259"/>
        <v>0</v>
      </c>
      <c r="M490" s="104">
        <f t="shared" si="2259"/>
        <v>0</v>
      </c>
      <c r="N490" s="104">
        <f t="shared" si="2259"/>
        <v>53323.46</v>
      </c>
      <c r="O490" s="104">
        <f t="shared" si="2259"/>
        <v>0</v>
      </c>
      <c r="P490" s="104">
        <f t="shared" si="2259"/>
        <v>0</v>
      </c>
      <c r="Q490" s="104">
        <f t="shared" si="2259"/>
        <v>38980.46</v>
      </c>
      <c r="R490" s="104">
        <f t="shared" si="2259"/>
        <v>0</v>
      </c>
      <c r="S490" s="104">
        <f t="shared" si="2259"/>
        <v>0</v>
      </c>
      <c r="T490" s="104">
        <f t="shared" si="2259"/>
        <v>38980.46</v>
      </c>
      <c r="U490" s="104">
        <f t="shared" si="2259"/>
        <v>0</v>
      </c>
      <c r="V490" s="104">
        <f t="shared" si="2259"/>
        <v>0</v>
      </c>
      <c r="W490" s="104">
        <f t="shared" si="2259"/>
        <v>14343</v>
      </c>
      <c r="X490" s="106">
        <f t="shared" ref="X490:Y490" si="2260">IF(O490&gt;0,O490/K490,0)</f>
        <v>0</v>
      </c>
      <c r="Y490" s="106">
        <f t="shared" si="2260"/>
        <v>0</v>
      </c>
      <c r="Z490" s="106">
        <f t="shared" si="1518"/>
        <v>0.73101895488402291</v>
      </c>
      <c r="AA490" s="104">
        <f t="shared" ref="AA490:BW490" si="2261">AA491+AA493+AA495+AA498+AA502+AA505</f>
        <v>0</v>
      </c>
      <c r="AB490" s="104">
        <f t="shared" si="2261"/>
        <v>0</v>
      </c>
      <c r="AC490" s="104">
        <f t="shared" si="2261"/>
        <v>0</v>
      </c>
      <c r="AD490" s="104">
        <f t="shared" si="2261"/>
        <v>0</v>
      </c>
      <c r="AE490" s="104">
        <f t="shared" si="2261"/>
        <v>0</v>
      </c>
      <c r="AF490" s="104">
        <f t="shared" si="2261"/>
        <v>0</v>
      </c>
      <c r="AG490" s="104">
        <f t="shared" si="2261"/>
        <v>0</v>
      </c>
      <c r="AH490" s="104">
        <f t="shared" si="2261"/>
        <v>0</v>
      </c>
      <c r="AI490" s="104">
        <f t="shared" si="2261"/>
        <v>0</v>
      </c>
      <c r="AJ490" s="104">
        <f t="shared" si="2261"/>
        <v>0</v>
      </c>
      <c r="AK490" s="104">
        <f t="shared" si="2261"/>
        <v>0</v>
      </c>
      <c r="AL490" s="104">
        <f t="shared" si="2261"/>
        <v>0</v>
      </c>
      <c r="AM490" s="104">
        <f t="shared" si="2261"/>
        <v>0</v>
      </c>
      <c r="AN490" s="104">
        <f t="shared" si="2261"/>
        <v>0</v>
      </c>
      <c r="AO490" s="104">
        <f t="shared" si="2261"/>
        <v>0</v>
      </c>
      <c r="AP490" s="104">
        <f t="shared" si="2261"/>
        <v>0</v>
      </c>
      <c r="AQ490" s="104">
        <f t="shared" si="2261"/>
        <v>0</v>
      </c>
      <c r="AR490" s="104">
        <f t="shared" si="2261"/>
        <v>0</v>
      </c>
      <c r="AS490" s="104">
        <f t="shared" si="2261"/>
        <v>0</v>
      </c>
      <c r="AT490" s="104">
        <f t="shared" si="2261"/>
        <v>0</v>
      </c>
      <c r="AU490" s="104">
        <f t="shared" si="2261"/>
        <v>0</v>
      </c>
      <c r="AV490" s="104">
        <f t="shared" si="2261"/>
        <v>0</v>
      </c>
      <c r="AW490" s="104">
        <f t="shared" si="2261"/>
        <v>0</v>
      </c>
      <c r="AX490" s="104">
        <f t="shared" si="2261"/>
        <v>0</v>
      </c>
      <c r="AY490" s="104">
        <f t="shared" si="2261"/>
        <v>0</v>
      </c>
      <c r="AZ490" s="104">
        <f t="shared" si="2261"/>
        <v>0</v>
      </c>
      <c r="BA490" s="104">
        <f t="shared" si="2261"/>
        <v>0</v>
      </c>
      <c r="BB490" s="104">
        <f t="shared" si="2261"/>
        <v>0</v>
      </c>
      <c r="BC490" s="104">
        <f t="shared" si="2261"/>
        <v>0</v>
      </c>
      <c r="BD490" s="104">
        <f t="shared" si="2261"/>
        <v>3432</v>
      </c>
      <c r="BE490" s="104">
        <f t="shared" si="2261"/>
        <v>0</v>
      </c>
      <c r="BF490" s="104">
        <f t="shared" si="2261"/>
        <v>0</v>
      </c>
      <c r="BG490" s="104">
        <f t="shared" si="2261"/>
        <v>10135.1</v>
      </c>
      <c r="BH490" s="104">
        <f t="shared" si="2261"/>
        <v>0</v>
      </c>
      <c r="BI490" s="104">
        <f t="shared" si="2261"/>
        <v>0</v>
      </c>
      <c r="BJ490" s="104">
        <f t="shared" si="2261"/>
        <v>25413.360000000001</v>
      </c>
      <c r="BK490" s="104">
        <f t="shared" si="2261"/>
        <v>0</v>
      </c>
      <c r="BL490" s="104">
        <f t="shared" si="2261"/>
        <v>0</v>
      </c>
      <c r="BM490" s="104">
        <f t="shared" si="2261"/>
        <v>38980.46</v>
      </c>
      <c r="BN490" s="104">
        <f t="shared" si="2261"/>
        <v>0</v>
      </c>
      <c r="BO490" s="104">
        <f t="shared" si="2261"/>
        <v>0</v>
      </c>
      <c r="BP490" s="104">
        <f t="shared" si="2261"/>
        <v>0</v>
      </c>
      <c r="BQ490" s="104">
        <f t="shared" si="2261"/>
        <v>0</v>
      </c>
      <c r="BR490" s="104">
        <f t="shared" si="2261"/>
        <v>14343</v>
      </c>
      <c r="BS490" s="104">
        <f t="shared" si="2261"/>
        <v>14343</v>
      </c>
      <c r="BT490" s="104">
        <f t="shared" si="2261"/>
        <v>0</v>
      </c>
      <c r="BU490" s="104">
        <f t="shared" si="2261"/>
        <v>0</v>
      </c>
      <c r="BV490" s="104">
        <f t="shared" si="2261"/>
        <v>14343</v>
      </c>
      <c r="BW490" s="104">
        <f t="shared" si="2261"/>
        <v>14343</v>
      </c>
      <c r="BX490" s="1"/>
      <c r="BY490" s="1"/>
      <c r="BZ490" s="1"/>
      <c r="CA490" s="1"/>
      <c r="CB490" s="1"/>
      <c r="CC490" s="1"/>
      <c r="CD490" s="1"/>
      <c r="CE490" s="1"/>
      <c r="CF490" s="1"/>
      <c r="CG490" s="1"/>
    </row>
    <row r="491" spans="1:85" ht="15.75" customHeight="1">
      <c r="A491" s="270"/>
      <c r="B491" s="271"/>
      <c r="C491" s="272"/>
      <c r="D491" s="112" t="s">
        <v>452</v>
      </c>
      <c r="E491" s="58">
        <f t="shared" ref="E491:H491" si="2262">E492</f>
        <v>0</v>
      </c>
      <c r="F491" s="59">
        <f t="shared" si="2262"/>
        <v>0</v>
      </c>
      <c r="G491" s="59">
        <f t="shared" si="2262"/>
        <v>0</v>
      </c>
      <c r="H491" s="59">
        <f t="shared" si="2262"/>
        <v>40000</v>
      </c>
      <c r="I491" s="60">
        <f t="shared" si="1737"/>
        <v>0</v>
      </c>
      <c r="J491" s="60">
        <f t="shared" si="1738"/>
        <v>0</v>
      </c>
      <c r="K491" s="59">
        <f t="shared" ref="K491:W491" si="2263">K492</f>
        <v>0</v>
      </c>
      <c r="L491" s="59">
        <f t="shared" si="2263"/>
        <v>0</v>
      </c>
      <c r="M491" s="59">
        <f t="shared" si="2263"/>
        <v>0</v>
      </c>
      <c r="N491" s="59">
        <f t="shared" si="2263"/>
        <v>0</v>
      </c>
      <c r="O491" s="59">
        <f t="shared" si="2263"/>
        <v>0</v>
      </c>
      <c r="P491" s="59">
        <f t="shared" si="2263"/>
        <v>0</v>
      </c>
      <c r="Q491" s="59">
        <f t="shared" si="2263"/>
        <v>0</v>
      </c>
      <c r="R491" s="59">
        <f t="shared" si="2263"/>
        <v>0</v>
      </c>
      <c r="S491" s="59">
        <f t="shared" si="2263"/>
        <v>0</v>
      </c>
      <c r="T491" s="59">
        <f t="shared" si="2263"/>
        <v>0</v>
      </c>
      <c r="U491" s="59">
        <f t="shared" si="2263"/>
        <v>0</v>
      </c>
      <c r="V491" s="59">
        <f t="shared" si="2263"/>
        <v>0</v>
      </c>
      <c r="W491" s="59">
        <f t="shared" si="2263"/>
        <v>0</v>
      </c>
      <c r="X491" s="63">
        <f t="shared" ref="X491:Y491" si="2264">IF(O491&gt;0,O491/K491,0)</f>
        <v>0</v>
      </c>
      <c r="Y491" s="63">
        <f t="shared" si="2264"/>
        <v>0</v>
      </c>
      <c r="Z491" s="63">
        <f t="shared" si="1518"/>
        <v>0</v>
      </c>
      <c r="AA491" s="59">
        <f t="shared" ref="AA491:BW491" si="2265">AA492</f>
        <v>0</v>
      </c>
      <c r="AB491" s="59">
        <f t="shared" si="2265"/>
        <v>0</v>
      </c>
      <c r="AC491" s="59">
        <f t="shared" si="2265"/>
        <v>0</v>
      </c>
      <c r="AD491" s="59">
        <f t="shared" si="2265"/>
        <v>0</v>
      </c>
      <c r="AE491" s="59">
        <f t="shared" si="2265"/>
        <v>0</v>
      </c>
      <c r="AF491" s="59">
        <f t="shared" si="2265"/>
        <v>0</v>
      </c>
      <c r="AG491" s="59">
        <f t="shared" si="2265"/>
        <v>0</v>
      </c>
      <c r="AH491" s="59">
        <f t="shared" si="2265"/>
        <v>0</v>
      </c>
      <c r="AI491" s="59">
        <f t="shared" si="2265"/>
        <v>0</v>
      </c>
      <c r="AJ491" s="59">
        <f t="shared" si="2265"/>
        <v>0</v>
      </c>
      <c r="AK491" s="59">
        <f t="shared" si="2265"/>
        <v>0</v>
      </c>
      <c r="AL491" s="59">
        <f t="shared" si="2265"/>
        <v>0</v>
      </c>
      <c r="AM491" s="59">
        <f t="shared" si="2265"/>
        <v>0</v>
      </c>
      <c r="AN491" s="59">
        <f t="shared" si="2265"/>
        <v>0</v>
      </c>
      <c r="AO491" s="59">
        <f t="shared" si="2265"/>
        <v>0</v>
      </c>
      <c r="AP491" s="59">
        <f t="shared" si="2265"/>
        <v>0</v>
      </c>
      <c r="AQ491" s="59">
        <f t="shared" si="2265"/>
        <v>0</v>
      </c>
      <c r="AR491" s="59">
        <f t="shared" si="2265"/>
        <v>0</v>
      </c>
      <c r="AS491" s="59">
        <f t="shared" si="2265"/>
        <v>0</v>
      </c>
      <c r="AT491" s="59">
        <f t="shared" si="2265"/>
        <v>0</v>
      </c>
      <c r="AU491" s="59">
        <f t="shared" si="2265"/>
        <v>0</v>
      </c>
      <c r="AV491" s="59">
        <f t="shared" si="2265"/>
        <v>0</v>
      </c>
      <c r="AW491" s="59">
        <f t="shared" si="2265"/>
        <v>0</v>
      </c>
      <c r="AX491" s="59">
        <f t="shared" si="2265"/>
        <v>0</v>
      </c>
      <c r="AY491" s="59">
        <f t="shared" si="2265"/>
        <v>0</v>
      </c>
      <c r="AZ491" s="59">
        <f t="shared" si="2265"/>
        <v>0</v>
      </c>
      <c r="BA491" s="59">
        <f t="shared" si="2265"/>
        <v>0</v>
      </c>
      <c r="BB491" s="59">
        <f t="shared" si="2265"/>
        <v>0</v>
      </c>
      <c r="BC491" s="59">
        <f t="shared" si="2265"/>
        <v>0</v>
      </c>
      <c r="BD491" s="59">
        <f t="shared" si="2265"/>
        <v>0</v>
      </c>
      <c r="BE491" s="59">
        <f t="shared" si="2265"/>
        <v>0</v>
      </c>
      <c r="BF491" s="59">
        <f t="shared" si="2265"/>
        <v>0</v>
      </c>
      <c r="BG491" s="59">
        <f t="shared" si="2265"/>
        <v>0</v>
      </c>
      <c r="BH491" s="59">
        <f t="shared" si="2265"/>
        <v>0</v>
      </c>
      <c r="BI491" s="59">
        <f t="shared" si="2265"/>
        <v>0</v>
      </c>
      <c r="BJ491" s="59">
        <f t="shared" si="2265"/>
        <v>0</v>
      </c>
      <c r="BK491" s="59">
        <f t="shared" si="2265"/>
        <v>0</v>
      </c>
      <c r="BL491" s="59">
        <f t="shared" si="2265"/>
        <v>0</v>
      </c>
      <c r="BM491" s="59">
        <f t="shared" si="2265"/>
        <v>0</v>
      </c>
      <c r="BN491" s="59">
        <f t="shared" si="2265"/>
        <v>0</v>
      </c>
      <c r="BO491" s="59">
        <f t="shared" si="2265"/>
        <v>0</v>
      </c>
      <c r="BP491" s="59">
        <f t="shared" si="2265"/>
        <v>0</v>
      </c>
      <c r="BQ491" s="59">
        <f t="shared" si="2265"/>
        <v>0</v>
      </c>
      <c r="BR491" s="59">
        <f t="shared" si="2265"/>
        <v>0</v>
      </c>
      <c r="BS491" s="59">
        <f t="shared" si="2265"/>
        <v>0</v>
      </c>
      <c r="BT491" s="59">
        <f t="shared" si="2265"/>
        <v>0</v>
      </c>
      <c r="BU491" s="59">
        <f t="shared" si="2265"/>
        <v>0</v>
      </c>
      <c r="BV491" s="59">
        <f t="shared" si="2265"/>
        <v>0</v>
      </c>
      <c r="BW491" s="59">
        <f t="shared" si="2265"/>
        <v>0</v>
      </c>
      <c r="BX491" s="1"/>
      <c r="BY491" s="1"/>
      <c r="BZ491" s="1"/>
      <c r="CA491" s="1"/>
      <c r="CB491" s="1"/>
      <c r="CC491" s="1"/>
      <c r="CD491" s="1"/>
      <c r="CE491" s="1"/>
      <c r="CF491" s="1"/>
      <c r="CG491" s="1"/>
    </row>
    <row r="492" spans="1:85" ht="15.75" customHeight="1">
      <c r="A492" s="108"/>
      <c r="B492" s="115"/>
      <c r="C492" s="86" t="s">
        <v>453</v>
      </c>
      <c r="D492" s="149" t="s">
        <v>612</v>
      </c>
      <c r="E492" s="70">
        <v>0</v>
      </c>
      <c r="F492" s="71"/>
      <c r="G492" s="71">
        <f>E492-F492</f>
        <v>0</v>
      </c>
      <c r="H492" s="70">
        <v>40000</v>
      </c>
      <c r="I492" s="72">
        <f t="shared" si="1737"/>
        <v>0</v>
      </c>
      <c r="J492" s="72">
        <f t="shared" si="1738"/>
        <v>0</v>
      </c>
      <c r="K492" s="88"/>
      <c r="L492" s="81"/>
      <c r="M492" s="81"/>
      <c r="N492" s="88"/>
      <c r="O492" s="77">
        <f t="shared" ref="O492:Q492" si="2266">AA492+AD492+AG492+AJ492+AM492+AP492+AS492+AV492+AY492+BB492+BE492+BH492</f>
        <v>0</v>
      </c>
      <c r="P492" s="77">
        <f t="shared" si="2266"/>
        <v>0</v>
      </c>
      <c r="Q492" s="77">
        <f t="shared" si="2266"/>
        <v>0</v>
      </c>
      <c r="R492" s="77">
        <f t="shared" ref="R492:T492" si="2267">IF(BK492=0,SUM(AA492+AD492+AG492+AJ492+AM492+AP492+AS492+AV492+AY492+BB492+BE492+BH492),BK492)</f>
        <v>0</v>
      </c>
      <c r="S492" s="77">
        <f t="shared" si="2267"/>
        <v>0</v>
      </c>
      <c r="T492" s="77">
        <f t="shared" si="2267"/>
        <v>0</v>
      </c>
      <c r="U492" s="79">
        <f>K492-O492</f>
        <v>0</v>
      </c>
      <c r="V492" s="79">
        <f>L492-M492-S492</f>
        <v>0</v>
      </c>
      <c r="W492" s="79">
        <f>N492-Q492</f>
        <v>0</v>
      </c>
      <c r="X492" s="80">
        <f t="shared" ref="X492:Y492" si="2268">IF(O492&gt;0,O492/K492,0)</f>
        <v>0</v>
      </c>
      <c r="Y492" s="80">
        <f t="shared" si="2268"/>
        <v>0</v>
      </c>
      <c r="Z492" s="80">
        <f t="shared" si="1518"/>
        <v>0</v>
      </c>
      <c r="AA492" s="81"/>
      <c r="AB492" s="81"/>
      <c r="AC492" s="81"/>
      <c r="AD492" s="81"/>
      <c r="AE492" s="83"/>
      <c r="AF492" s="83"/>
      <c r="AG492" s="83"/>
      <c r="AH492" s="83"/>
      <c r="AI492" s="81"/>
      <c r="AJ492" s="81"/>
      <c r="AK492" s="81"/>
      <c r="AL492" s="81"/>
      <c r="AM492" s="81"/>
      <c r="AN492" s="81"/>
      <c r="AO492" s="81"/>
      <c r="AP492" s="81"/>
      <c r="AQ492" s="81"/>
      <c r="AR492" s="81"/>
      <c r="AS492" s="81"/>
      <c r="AT492" s="81"/>
      <c r="AU492" s="81"/>
      <c r="AV492" s="81"/>
      <c r="AW492" s="81"/>
      <c r="AX492" s="81"/>
      <c r="AY492" s="81"/>
      <c r="AZ492" s="81"/>
      <c r="BA492" s="81"/>
      <c r="BB492" s="81"/>
      <c r="BC492" s="81"/>
      <c r="BD492" s="81"/>
      <c r="BE492" s="81"/>
      <c r="BF492" s="81"/>
      <c r="BG492" s="81"/>
      <c r="BH492" s="81"/>
      <c r="BI492" s="81"/>
      <c r="BJ492" s="81"/>
      <c r="BK492" s="82">
        <v>0</v>
      </c>
      <c r="BL492" s="82">
        <v>0</v>
      </c>
      <c r="BM492" s="82">
        <v>0</v>
      </c>
      <c r="BN492" s="81">
        <f>IF(O492-BK492&gt;0,O492-BK492,0)</f>
        <v>0</v>
      </c>
      <c r="BO492" s="75">
        <f>IF(Q492-BM492&gt;0,Q492-BM492,0)</f>
        <v>0</v>
      </c>
      <c r="BP492" s="81">
        <f>IF(BN492+BO492&gt;0,BN492+BO492,0)</f>
        <v>0</v>
      </c>
      <c r="BQ492" s="81">
        <f>IF(U492=0,0,U492)</f>
        <v>0</v>
      </c>
      <c r="BR492" s="81">
        <f>IF(W492=0,0,W492)</f>
        <v>0</v>
      </c>
      <c r="BS492" s="81">
        <f>IF(BQ492+BR492&gt;0,BQ492+BR492,0)</f>
        <v>0</v>
      </c>
      <c r="BT492" s="81">
        <f>IF(V492&gt;0,V492,0)</f>
        <v>0</v>
      </c>
      <c r="BU492" s="81">
        <f>IF(BP492=0,0,BP492)</f>
        <v>0</v>
      </c>
      <c r="BV492" s="81">
        <f>IF(BS492=0,0,BS492)</f>
        <v>0</v>
      </c>
      <c r="BW492" s="81">
        <f>IF(BP492+BT492+BV492&gt;0,BP492+BT492+BV492,0)</f>
        <v>0</v>
      </c>
      <c r="BX492" s="1"/>
      <c r="BY492" s="1"/>
      <c r="BZ492" s="1"/>
      <c r="CA492" s="1"/>
      <c r="CB492" s="1"/>
      <c r="CC492" s="1"/>
      <c r="CD492" s="1"/>
      <c r="CE492" s="1"/>
      <c r="CF492" s="1"/>
      <c r="CG492" s="1"/>
    </row>
    <row r="493" spans="1:85" ht="15.75" customHeight="1">
      <c r="A493" s="270"/>
      <c r="B493" s="271"/>
      <c r="C493" s="272"/>
      <c r="D493" s="112" t="s">
        <v>344</v>
      </c>
      <c r="E493" s="58">
        <f t="shared" ref="E493:H493" si="2269">E494</f>
        <v>0</v>
      </c>
      <c r="F493" s="59">
        <f t="shared" si="2269"/>
        <v>0</v>
      </c>
      <c r="G493" s="59">
        <f t="shared" si="2269"/>
        <v>0</v>
      </c>
      <c r="H493" s="59">
        <f t="shared" si="2269"/>
        <v>10000</v>
      </c>
      <c r="I493" s="60">
        <f t="shared" si="1737"/>
        <v>0</v>
      </c>
      <c r="J493" s="60">
        <f t="shared" si="1738"/>
        <v>0</v>
      </c>
      <c r="K493" s="59">
        <f t="shared" ref="K493:W493" si="2270">K494</f>
        <v>0</v>
      </c>
      <c r="L493" s="59">
        <f t="shared" si="2270"/>
        <v>0</v>
      </c>
      <c r="M493" s="59">
        <f t="shared" si="2270"/>
        <v>0</v>
      </c>
      <c r="N493" s="59">
        <f t="shared" si="2270"/>
        <v>0</v>
      </c>
      <c r="O493" s="59">
        <f t="shared" si="2270"/>
        <v>0</v>
      </c>
      <c r="P493" s="59">
        <f t="shared" si="2270"/>
        <v>0</v>
      </c>
      <c r="Q493" s="59">
        <f t="shared" si="2270"/>
        <v>0</v>
      </c>
      <c r="R493" s="59">
        <f t="shared" si="2270"/>
        <v>0</v>
      </c>
      <c r="S493" s="59">
        <f t="shared" si="2270"/>
        <v>0</v>
      </c>
      <c r="T493" s="59">
        <f t="shared" si="2270"/>
        <v>0</v>
      </c>
      <c r="U493" s="59">
        <f t="shared" si="2270"/>
        <v>0</v>
      </c>
      <c r="V493" s="59">
        <f t="shared" si="2270"/>
        <v>0</v>
      </c>
      <c r="W493" s="59">
        <f t="shared" si="2270"/>
        <v>0</v>
      </c>
      <c r="X493" s="63">
        <f t="shared" ref="X493:Y493" si="2271">IF(O493&gt;0,O493/K493,0)</f>
        <v>0</v>
      </c>
      <c r="Y493" s="63">
        <f t="shared" si="2271"/>
        <v>0</v>
      </c>
      <c r="Z493" s="63">
        <f t="shared" si="1518"/>
        <v>0</v>
      </c>
      <c r="AA493" s="59">
        <f t="shared" ref="AA493:BW493" si="2272">AA494</f>
        <v>0</v>
      </c>
      <c r="AB493" s="59">
        <f t="shared" si="2272"/>
        <v>0</v>
      </c>
      <c r="AC493" s="59">
        <f t="shared" si="2272"/>
        <v>0</v>
      </c>
      <c r="AD493" s="59">
        <f t="shared" si="2272"/>
        <v>0</v>
      </c>
      <c r="AE493" s="59">
        <f t="shared" si="2272"/>
        <v>0</v>
      </c>
      <c r="AF493" s="59">
        <f t="shared" si="2272"/>
        <v>0</v>
      </c>
      <c r="AG493" s="59">
        <f t="shared" si="2272"/>
        <v>0</v>
      </c>
      <c r="AH493" s="59">
        <f t="shared" si="2272"/>
        <v>0</v>
      </c>
      <c r="AI493" s="59">
        <f t="shared" si="2272"/>
        <v>0</v>
      </c>
      <c r="AJ493" s="59">
        <f t="shared" si="2272"/>
        <v>0</v>
      </c>
      <c r="AK493" s="59">
        <f t="shared" si="2272"/>
        <v>0</v>
      </c>
      <c r="AL493" s="59">
        <f t="shared" si="2272"/>
        <v>0</v>
      </c>
      <c r="AM493" s="59">
        <f t="shared" si="2272"/>
        <v>0</v>
      </c>
      <c r="AN493" s="59">
        <f t="shared" si="2272"/>
        <v>0</v>
      </c>
      <c r="AO493" s="59">
        <f t="shared" si="2272"/>
        <v>0</v>
      </c>
      <c r="AP493" s="59">
        <f t="shared" si="2272"/>
        <v>0</v>
      </c>
      <c r="AQ493" s="59">
        <f t="shared" si="2272"/>
        <v>0</v>
      </c>
      <c r="AR493" s="59">
        <f t="shared" si="2272"/>
        <v>0</v>
      </c>
      <c r="AS493" s="59">
        <f t="shared" si="2272"/>
        <v>0</v>
      </c>
      <c r="AT493" s="59">
        <f t="shared" si="2272"/>
        <v>0</v>
      </c>
      <c r="AU493" s="59">
        <f t="shared" si="2272"/>
        <v>0</v>
      </c>
      <c r="AV493" s="59">
        <f t="shared" si="2272"/>
        <v>0</v>
      </c>
      <c r="AW493" s="59">
        <f t="shared" si="2272"/>
        <v>0</v>
      </c>
      <c r="AX493" s="59">
        <f t="shared" si="2272"/>
        <v>0</v>
      </c>
      <c r="AY493" s="59">
        <f t="shared" si="2272"/>
        <v>0</v>
      </c>
      <c r="AZ493" s="59">
        <f t="shared" si="2272"/>
        <v>0</v>
      </c>
      <c r="BA493" s="59">
        <f t="shared" si="2272"/>
        <v>0</v>
      </c>
      <c r="BB493" s="59">
        <f t="shared" si="2272"/>
        <v>0</v>
      </c>
      <c r="BC493" s="59">
        <f t="shared" si="2272"/>
        <v>0</v>
      </c>
      <c r="BD493" s="59">
        <f t="shared" si="2272"/>
        <v>0</v>
      </c>
      <c r="BE493" s="59">
        <f t="shared" si="2272"/>
        <v>0</v>
      </c>
      <c r="BF493" s="59">
        <f t="shared" si="2272"/>
        <v>0</v>
      </c>
      <c r="BG493" s="59">
        <f t="shared" si="2272"/>
        <v>0</v>
      </c>
      <c r="BH493" s="59">
        <f t="shared" si="2272"/>
        <v>0</v>
      </c>
      <c r="BI493" s="59">
        <f t="shared" si="2272"/>
        <v>0</v>
      </c>
      <c r="BJ493" s="59">
        <f t="shared" si="2272"/>
        <v>0</v>
      </c>
      <c r="BK493" s="59">
        <f t="shared" si="2272"/>
        <v>0</v>
      </c>
      <c r="BL493" s="59">
        <f t="shared" si="2272"/>
        <v>0</v>
      </c>
      <c r="BM493" s="59">
        <f t="shared" si="2272"/>
        <v>0</v>
      </c>
      <c r="BN493" s="59">
        <f t="shared" si="2272"/>
        <v>0</v>
      </c>
      <c r="BO493" s="59">
        <f t="shared" si="2272"/>
        <v>0</v>
      </c>
      <c r="BP493" s="59">
        <f t="shared" si="2272"/>
        <v>0</v>
      </c>
      <c r="BQ493" s="59">
        <f t="shared" si="2272"/>
        <v>0</v>
      </c>
      <c r="BR493" s="59">
        <f t="shared" si="2272"/>
        <v>0</v>
      </c>
      <c r="BS493" s="59">
        <f t="shared" si="2272"/>
        <v>0</v>
      </c>
      <c r="BT493" s="59">
        <f t="shared" si="2272"/>
        <v>0</v>
      </c>
      <c r="BU493" s="59">
        <f t="shared" si="2272"/>
        <v>0</v>
      </c>
      <c r="BV493" s="59">
        <f t="shared" si="2272"/>
        <v>0</v>
      </c>
      <c r="BW493" s="59">
        <f t="shared" si="2272"/>
        <v>0</v>
      </c>
      <c r="BX493" s="1"/>
      <c r="BY493" s="1"/>
      <c r="BZ493" s="1"/>
      <c r="CA493" s="1"/>
      <c r="CB493" s="1"/>
      <c r="CC493" s="1"/>
      <c r="CD493" s="1"/>
      <c r="CE493" s="1"/>
      <c r="CF493" s="1"/>
      <c r="CG493" s="1"/>
    </row>
    <row r="494" spans="1:85" ht="15.75" customHeight="1">
      <c r="A494" s="84"/>
      <c r="B494" s="115"/>
      <c r="C494" s="86" t="s">
        <v>455</v>
      </c>
      <c r="D494" s="87" t="s">
        <v>628</v>
      </c>
      <c r="E494" s="70"/>
      <c r="F494" s="71"/>
      <c r="G494" s="71">
        <f>E494-F494</f>
        <v>0</v>
      </c>
      <c r="H494" s="70">
        <v>10000</v>
      </c>
      <c r="I494" s="72">
        <f t="shared" si="1737"/>
        <v>0</v>
      </c>
      <c r="J494" s="72">
        <f t="shared" si="1738"/>
        <v>0</v>
      </c>
      <c r="K494" s="88"/>
      <c r="L494" s="81"/>
      <c r="M494" s="81"/>
      <c r="N494" s="107"/>
      <c r="O494" s="77">
        <f t="shared" ref="O494:Q494" si="2273">AA494+AD494+AG494+AJ494+AM494+AP494+AS494+AV494+AY494+BB494+BE494+BH494</f>
        <v>0</v>
      </c>
      <c r="P494" s="77">
        <f t="shared" si="2273"/>
        <v>0</v>
      </c>
      <c r="Q494" s="77">
        <f t="shared" si="2273"/>
        <v>0</v>
      </c>
      <c r="R494" s="77">
        <f t="shared" ref="R494:T494" si="2274">IF(BK494=0,SUM(AA494+AD494+AG494+AJ494+AM494+AP494+AS494+AV494+AY494+BB494+BE494+BH494),BK494)</f>
        <v>0</v>
      </c>
      <c r="S494" s="77">
        <f t="shared" si="2274"/>
        <v>0</v>
      </c>
      <c r="T494" s="77">
        <f t="shared" si="2274"/>
        <v>0</v>
      </c>
      <c r="U494" s="79">
        <f>K494-O494</f>
        <v>0</v>
      </c>
      <c r="V494" s="79">
        <f>L494-M494-S494</f>
        <v>0</v>
      </c>
      <c r="W494" s="79">
        <f>N494-Q494</f>
        <v>0</v>
      </c>
      <c r="X494" s="80">
        <f t="shared" ref="X494:Y494" si="2275">IF(O494&gt;0,O494/K494,0)</f>
        <v>0</v>
      </c>
      <c r="Y494" s="80">
        <f t="shared" si="2275"/>
        <v>0</v>
      </c>
      <c r="Z494" s="80">
        <f t="shared" si="1518"/>
        <v>0</v>
      </c>
      <c r="AA494" s="81"/>
      <c r="AB494" s="81"/>
      <c r="AC494" s="81"/>
      <c r="AD494" s="81"/>
      <c r="AE494" s="83"/>
      <c r="AF494" s="83"/>
      <c r="AG494" s="83"/>
      <c r="AH494" s="83"/>
      <c r="AI494" s="81"/>
      <c r="AJ494" s="81"/>
      <c r="AK494" s="81"/>
      <c r="AL494" s="81"/>
      <c r="AM494" s="81"/>
      <c r="AN494" s="81"/>
      <c r="AO494" s="81"/>
      <c r="AP494" s="81"/>
      <c r="AQ494" s="81"/>
      <c r="AR494" s="81"/>
      <c r="AS494" s="81"/>
      <c r="AT494" s="81"/>
      <c r="AU494" s="81"/>
      <c r="AV494" s="81"/>
      <c r="AW494" s="81"/>
      <c r="AX494" s="81"/>
      <c r="AY494" s="81"/>
      <c r="AZ494" s="81"/>
      <c r="BA494" s="81"/>
      <c r="BB494" s="81"/>
      <c r="BC494" s="81"/>
      <c r="BD494" s="81"/>
      <c r="BE494" s="81"/>
      <c r="BF494" s="81"/>
      <c r="BG494" s="81"/>
      <c r="BH494" s="81"/>
      <c r="BI494" s="81"/>
      <c r="BJ494" s="81"/>
      <c r="BK494" s="82">
        <v>0</v>
      </c>
      <c r="BL494" s="82">
        <v>0</v>
      </c>
      <c r="BM494" s="82">
        <v>0</v>
      </c>
      <c r="BN494" s="81">
        <f>IF(O494-BK494&gt;0,O494-BK494,0)</f>
        <v>0</v>
      </c>
      <c r="BO494" s="75">
        <f>IF(Q494-BM494&gt;0,Q494-BM494,0)</f>
        <v>0</v>
      </c>
      <c r="BP494" s="81">
        <f>IF(BN494+BO494&gt;0,BN494+BO494,0)</f>
        <v>0</v>
      </c>
      <c r="BQ494" s="81">
        <f>IF(U494=0,0,U494)</f>
        <v>0</v>
      </c>
      <c r="BR494" s="81">
        <f>IF(W494=0,0,W494)</f>
        <v>0</v>
      </c>
      <c r="BS494" s="81">
        <f>IF(BQ494+BR494&gt;0,BQ494+BR494,0)</f>
        <v>0</v>
      </c>
      <c r="BT494" s="81">
        <f>IF(V494&gt;0,V494,0)</f>
        <v>0</v>
      </c>
      <c r="BU494" s="81">
        <f>IF(BP494=0,0,BP494)</f>
        <v>0</v>
      </c>
      <c r="BV494" s="81">
        <f>IF(BS494=0,0,BS494)</f>
        <v>0</v>
      </c>
      <c r="BW494" s="81">
        <f>IF(BP494+BT494+BV494&gt;0,BP494+BT494+BV494,0)</f>
        <v>0</v>
      </c>
      <c r="BX494" s="1"/>
      <c r="BY494" s="1"/>
      <c r="BZ494" s="1"/>
      <c r="CA494" s="1"/>
      <c r="CB494" s="1"/>
      <c r="CC494" s="1"/>
      <c r="CD494" s="1"/>
      <c r="CE494" s="1"/>
      <c r="CF494" s="1"/>
      <c r="CG494" s="1"/>
    </row>
    <row r="495" spans="1:85" ht="15.75">
      <c r="A495" s="270"/>
      <c r="B495" s="271"/>
      <c r="C495" s="272"/>
      <c r="D495" s="112" t="s">
        <v>365</v>
      </c>
      <c r="E495" s="286">
        <f t="shared" ref="E495:H495" si="2276">SUM(E496:E497)</f>
        <v>0</v>
      </c>
      <c r="F495" s="286">
        <f t="shared" si="2276"/>
        <v>0</v>
      </c>
      <c r="G495" s="286">
        <f t="shared" si="2276"/>
        <v>0</v>
      </c>
      <c r="H495" s="286">
        <f t="shared" si="2276"/>
        <v>100000</v>
      </c>
      <c r="I495" s="287">
        <f t="shared" si="1737"/>
        <v>0</v>
      </c>
      <c r="J495" s="287">
        <f t="shared" si="1738"/>
        <v>0</v>
      </c>
      <c r="K495" s="286">
        <f t="shared" ref="K495:W495" si="2277">SUM(K496:K497)</f>
        <v>0</v>
      </c>
      <c r="L495" s="286">
        <f t="shared" si="2277"/>
        <v>0</v>
      </c>
      <c r="M495" s="286">
        <f t="shared" si="2277"/>
        <v>0</v>
      </c>
      <c r="N495" s="286">
        <f t="shared" si="2277"/>
        <v>0</v>
      </c>
      <c r="O495" s="286">
        <f t="shared" si="2277"/>
        <v>0</v>
      </c>
      <c r="P495" s="286">
        <f t="shared" si="2277"/>
        <v>0</v>
      </c>
      <c r="Q495" s="286">
        <f t="shared" si="2277"/>
        <v>0</v>
      </c>
      <c r="R495" s="286">
        <f t="shared" si="2277"/>
        <v>0</v>
      </c>
      <c r="S495" s="286">
        <f t="shared" si="2277"/>
        <v>0</v>
      </c>
      <c r="T495" s="286">
        <f t="shared" si="2277"/>
        <v>0</v>
      </c>
      <c r="U495" s="286">
        <f t="shared" si="2277"/>
        <v>0</v>
      </c>
      <c r="V495" s="286">
        <f t="shared" si="2277"/>
        <v>0</v>
      </c>
      <c r="W495" s="286">
        <f t="shared" si="2277"/>
        <v>0</v>
      </c>
      <c r="X495" s="288">
        <f t="shared" ref="X495:Y495" si="2278">IF(O495&gt;0,O495/K495,0)</f>
        <v>0</v>
      </c>
      <c r="Y495" s="288">
        <f t="shared" si="2278"/>
        <v>0</v>
      </c>
      <c r="Z495" s="288">
        <f t="shared" si="1518"/>
        <v>0</v>
      </c>
      <c r="AA495" s="286">
        <f t="shared" ref="AA495:BW495" si="2279">SUM(AA496:AA497)</f>
        <v>0</v>
      </c>
      <c r="AB495" s="286">
        <f t="shared" si="2279"/>
        <v>0</v>
      </c>
      <c r="AC495" s="286">
        <f t="shared" si="2279"/>
        <v>0</v>
      </c>
      <c r="AD495" s="286">
        <f t="shared" si="2279"/>
        <v>0</v>
      </c>
      <c r="AE495" s="286">
        <f t="shared" si="2279"/>
        <v>0</v>
      </c>
      <c r="AF495" s="286">
        <f t="shared" si="2279"/>
        <v>0</v>
      </c>
      <c r="AG495" s="286">
        <f t="shared" si="2279"/>
        <v>0</v>
      </c>
      <c r="AH495" s="286">
        <f t="shared" si="2279"/>
        <v>0</v>
      </c>
      <c r="AI495" s="286">
        <f t="shared" si="2279"/>
        <v>0</v>
      </c>
      <c r="AJ495" s="286">
        <f t="shared" si="2279"/>
        <v>0</v>
      </c>
      <c r="AK495" s="286">
        <f t="shared" si="2279"/>
        <v>0</v>
      </c>
      <c r="AL495" s="286">
        <f t="shared" si="2279"/>
        <v>0</v>
      </c>
      <c r="AM495" s="286">
        <f t="shared" si="2279"/>
        <v>0</v>
      </c>
      <c r="AN495" s="286">
        <f t="shared" si="2279"/>
        <v>0</v>
      </c>
      <c r="AO495" s="286">
        <f t="shared" si="2279"/>
        <v>0</v>
      </c>
      <c r="AP495" s="286">
        <f t="shared" si="2279"/>
        <v>0</v>
      </c>
      <c r="AQ495" s="286">
        <f t="shared" si="2279"/>
        <v>0</v>
      </c>
      <c r="AR495" s="286">
        <f t="shared" si="2279"/>
        <v>0</v>
      </c>
      <c r="AS495" s="286">
        <f t="shared" si="2279"/>
        <v>0</v>
      </c>
      <c r="AT495" s="286">
        <f t="shared" si="2279"/>
        <v>0</v>
      </c>
      <c r="AU495" s="286">
        <f t="shared" si="2279"/>
        <v>0</v>
      </c>
      <c r="AV495" s="286">
        <f t="shared" si="2279"/>
        <v>0</v>
      </c>
      <c r="AW495" s="286">
        <f t="shared" si="2279"/>
        <v>0</v>
      </c>
      <c r="AX495" s="286">
        <f t="shared" si="2279"/>
        <v>0</v>
      </c>
      <c r="AY495" s="286">
        <f t="shared" si="2279"/>
        <v>0</v>
      </c>
      <c r="AZ495" s="286">
        <f t="shared" si="2279"/>
        <v>0</v>
      </c>
      <c r="BA495" s="286">
        <f t="shared" si="2279"/>
        <v>0</v>
      </c>
      <c r="BB495" s="286">
        <f t="shared" si="2279"/>
        <v>0</v>
      </c>
      <c r="BC495" s="286">
        <f t="shared" si="2279"/>
        <v>0</v>
      </c>
      <c r="BD495" s="286">
        <f t="shared" si="2279"/>
        <v>0</v>
      </c>
      <c r="BE495" s="286">
        <f t="shared" si="2279"/>
        <v>0</v>
      </c>
      <c r="BF495" s="286">
        <f t="shared" si="2279"/>
        <v>0</v>
      </c>
      <c r="BG495" s="286">
        <f t="shared" si="2279"/>
        <v>0</v>
      </c>
      <c r="BH495" s="286">
        <f t="shared" si="2279"/>
        <v>0</v>
      </c>
      <c r="BI495" s="286">
        <f t="shared" si="2279"/>
        <v>0</v>
      </c>
      <c r="BJ495" s="286">
        <f t="shared" si="2279"/>
        <v>0</v>
      </c>
      <c r="BK495" s="286">
        <f t="shared" si="2279"/>
        <v>0</v>
      </c>
      <c r="BL495" s="286">
        <f t="shared" si="2279"/>
        <v>0</v>
      </c>
      <c r="BM495" s="286">
        <f t="shared" si="2279"/>
        <v>0</v>
      </c>
      <c r="BN495" s="286">
        <f t="shared" si="2279"/>
        <v>0</v>
      </c>
      <c r="BO495" s="286">
        <f t="shared" si="2279"/>
        <v>0</v>
      </c>
      <c r="BP495" s="286">
        <f t="shared" si="2279"/>
        <v>0</v>
      </c>
      <c r="BQ495" s="286">
        <f t="shared" si="2279"/>
        <v>0</v>
      </c>
      <c r="BR495" s="286">
        <f t="shared" si="2279"/>
        <v>0</v>
      </c>
      <c r="BS495" s="286">
        <f t="shared" si="2279"/>
        <v>0</v>
      </c>
      <c r="BT495" s="286">
        <f t="shared" si="2279"/>
        <v>0</v>
      </c>
      <c r="BU495" s="286">
        <f t="shared" si="2279"/>
        <v>0</v>
      </c>
      <c r="BV495" s="286">
        <f t="shared" si="2279"/>
        <v>0</v>
      </c>
      <c r="BW495" s="286">
        <f t="shared" si="2279"/>
        <v>0</v>
      </c>
      <c r="BX495" s="1"/>
      <c r="BY495" s="1"/>
      <c r="BZ495" s="1"/>
      <c r="CA495" s="1"/>
      <c r="CB495" s="1"/>
      <c r="CC495" s="1"/>
      <c r="CD495" s="1"/>
      <c r="CE495" s="1"/>
      <c r="CF495" s="1"/>
      <c r="CG495" s="1"/>
    </row>
    <row r="496" spans="1:85" ht="15.75" customHeight="1">
      <c r="A496" s="84"/>
      <c r="B496" s="115"/>
      <c r="C496" s="86" t="s">
        <v>810</v>
      </c>
      <c r="D496" s="87" t="s">
        <v>811</v>
      </c>
      <c r="E496" s="70"/>
      <c r="F496" s="71"/>
      <c r="G496" s="71">
        <f t="shared" ref="G496:G497" si="2280">E496-F496</f>
        <v>0</v>
      </c>
      <c r="H496" s="196">
        <v>50000</v>
      </c>
      <c r="I496" s="72">
        <f t="shared" si="1737"/>
        <v>0</v>
      </c>
      <c r="J496" s="72">
        <f t="shared" si="1738"/>
        <v>0</v>
      </c>
      <c r="K496" s="88"/>
      <c r="L496" s="81"/>
      <c r="M496" s="81"/>
      <c r="N496" s="107"/>
      <c r="O496" s="77">
        <f t="shared" ref="O496:Q496" si="2281">AA496+AD496+AG496+AJ496+AM496+AP496+AS496+AV496+AY496+BB496+BE496+BH496</f>
        <v>0</v>
      </c>
      <c r="P496" s="77">
        <f t="shared" si="2281"/>
        <v>0</v>
      </c>
      <c r="Q496" s="77">
        <f t="shared" si="2281"/>
        <v>0</v>
      </c>
      <c r="R496" s="77">
        <f t="shared" ref="R496:T496" si="2282">IF(BK496=0,SUM(AA496+AD496+AG496+AJ496+AM496+AP496+AS496+AV496+AY496+BB496+BE496+BH496),BK496)</f>
        <v>0</v>
      </c>
      <c r="S496" s="77">
        <f t="shared" si="2282"/>
        <v>0</v>
      </c>
      <c r="T496" s="77">
        <f t="shared" si="2282"/>
        <v>0</v>
      </c>
      <c r="U496" s="79">
        <f t="shared" ref="U496:U497" si="2283">K496-O496</f>
        <v>0</v>
      </c>
      <c r="V496" s="79">
        <f t="shared" ref="V496:V497" si="2284">L496-M496-S496</f>
        <v>0</v>
      </c>
      <c r="W496" s="79">
        <f t="shared" ref="W496:W497" si="2285">N496-Q496</f>
        <v>0</v>
      </c>
      <c r="X496" s="80">
        <f t="shared" ref="X496:Y496" si="2286">IF(O496&gt;0,O496/K496,0)</f>
        <v>0</v>
      </c>
      <c r="Y496" s="80">
        <f t="shared" si="2286"/>
        <v>0</v>
      </c>
      <c r="Z496" s="80">
        <f t="shared" si="1518"/>
        <v>0</v>
      </c>
      <c r="AA496" s="81"/>
      <c r="AB496" s="81"/>
      <c r="AC496" s="81"/>
      <c r="AD496" s="81"/>
      <c r="AE496" s="83"/>
      <c r="AF496" s="83"/>
      <c r="AG496" s="83"/>
      <c r="AH496" s="83"/>
      <c r="AI496" s="81"/>
      <c r="AJ496" s="81"/>
      <c r="AK496" s="81"/>
      <c r="AL496" s="81"/>
      <c r="AM496" s="81"/>
      <c r="AN496" s="81"/>
      <c r="AO496" s="81"/>
      <c r="AP496" s="81"/>
      <c r="AQ496" s="81"/>
      <c r="AR496" s="81"/>
      <c r="AS496" s="81"/>
      <c r="AT496" s="81"/>
      <c r="AU496" s="81"/>
      <c r="AV496" s="81"/>
      <c r="AW496" s="81"/>
      <c r="AX496" s="81"/>
      <c r="AY496" s="81"/>
      <c r="AZ496" s="81"/>
      <c r="BA496" s="81"/>
      <c r="BB496" s="81"/>
      <c r="BC496" s="81"/>
      <c r="BD496" s="81"/>
      <c r="BE496" s="81"/>
      <c r="BF496" s="81"/>
      <c r="BG496" s="81"/>
      <c r="BH496" s="81"/>
      <c r="BI496" s="81"/>
      <c r="BJ496" s="81"/>
      <c r="BK496" s="82">
        <v>0</v>
      </c>
      <c r="BL496" s="82">
        <v>0</v>
      </c>
      <c r="BM496" s="82">
        <v>0</v>
      </c>
      <c r="BN496" s="81">
        <f t="shared" ref="BN496:BN497" si="2287">IF(O496-BK496&gt;0,O496-BK496,0)</f>
        <v>0</v>
      </c>
      <c r="BO496" s="75">
        <f t="shared" ref="BO496:BO497" si="2288">IF(Q496-BM496&gt;0,Q496-BM496,0)</f>
        <v>0</v>
      </c>
      <c r="BP496" s="81">
        <f t="shared" ref="BP496:BP497" si="2289">IF(BN496+BO496&gt;0,BN496+BO496,0)</f>
        <v>0</v>
      </c>
      <c r="BQ496" s="81">
        <f t="shared" ref="BQ496:BQ497" si="2290">IF(U496=0,0,U496)</f>
        <v>0</v>
      </c>
      <c r="BR496" s="81">
        <f t="shared" ref="BR496:BR497" si="2291">IF(W496=0,0,W496)</f>
        <v>0</v>
      </c>
      <c r="BS496" s="81">
        <f t="shared" ref="BS496:BS497" si="2292">IF(BQ496+BR496&gt;0,BQ496+BR496,0)</f>
        <v>0</v>
      </c>
      <c r="BT496" s="81">
        <f t="shared" ref="BT496:BT497" si="2293">IF(V496&gt;0,V496,0)</f>
        <v>0</v>
      </c>
      <c r="BU496" s="81">
        <f t="shared" ref="BU496:BU497" si="2294">IF(BP496=0,0,BP496)</f>
        <v>0</v>
      </c>
      <c r="BV496" s="81">
        <f t="shared" ref="BV496:BV497" si="2295">IF(BS496=0,0,BS496)</f>
        <v>0</v>
      </c>
      <c r="BW496" s="81">
        <f t="shared" ref="BW496:BW497" si="2296">IF(BP496+BT496+BV496&gt;0,BP496+BT496+BV496,0)</f>
        <v>0</v>
      </c>
      <c r="BX496" s="1"/>
      <c r="BY496" s="1"/>
      <c r="BZ496" s="1"/>
      <c r="CA496" s="1"/>
      <c r="CB496" s="1"/>
      <c r="CC496" s="1"/>
      <c r="CD496" s="1"/>
      <c r="CE496" s="1"/>
      <c r="CF496" s="1"/>
      <c r="CG496" s="1"/>
    </row>
    <row r="497" spans="1:85" ht="15.75" customHeight="1">
      <c r="A497" s="381"/>
      <c r="B497" s="382"/>
      <c r="C497" s="91" t="s">
        <v>370</v>
      </c>
      <c r="D497" s="92" t="s">
        <v>812</v>
      </c>
      <c r="E497" s="196"/>
      <c r="F497" s="322"/>
      <c r="G497" s="71">
        <f t="shared" si="2280"/>
        <v>0</v>
      </c>
      <c r="H497" s="196">
        <v>50000</v>
      </c>
      <c r="I497" s="72">
        <f t="shared" si="1737"/>
        <v>0</v>
      </c>
      <c r="J497" s="72">
        <f t="shared" si="1738"/>
        <v>0</v>
      </c>
      <c r="K497" s="237"/>
      <c r="L497" s="83"/>
      <c r="M497" s="83"/>
      <c r="N497" s="266"/>
      <c r="O497" s="77">
        <f t="shared" ref="O497:Q497" si="2297">AA497+AD497+AG497+AJ497+AM497+AP497+AS497+AV497+AY497+BB497+BE497+BH497</f>
        <v>0</v>
      </c>
      <c r="P497" s="77">
        <f t="shared" si="2297"/>
        <v>0</v>
      </c>
      <c r="Q497" s="77">
        <f t="shared" si="2297"/>
        <v>0</v>
      </c>
      <c r="R497" s="77">
        <f t="shared" ref="R497:T497" si="2298">IF(BK497=0,SUM(AA497+AD497+AG497+AJ497+AM497+AP497+AS497+AV497+AY497+BB497+BE497+BH497),BK497)</f>
        <v>0</v>
      </c>
      <c r="S497" s="77">
        <f t="shared" si="2298"/>
        <v>0</v>
      </c>
      <c r="T497" s="77">
        <f t="shared" si="2298"/>
        <v>0</v>
      </c>
      <c r="U497" s="79">
        <f t="shared" si="2283"/>
        <v>0</v>
      </c>
      <c r="V497" s="79">
        <f t="shared" si="2284"/>
        <v>0</v>
      </c>
      <c r="W497" s="79">
        <f t="shared" si="2285"/>
        <v>0</v>
      </c>
      <c r="X497" s="80">
        <f t="shared" ref="X497:Y497" si="2299">IF(O497&gt;0,O497/K497,0)</f>
        <v>0</v>
      </c>
      <c r="Y497" s="80">
        <f t="shared" si="2299"/>
        <v>0</v>
      </c>
      <c r="Z497" s="80">
        <f t="shared" si="1518"/>
        <v>0</v>
      </c>
      <c r="AA497" s="267"/>
      <c r="AB497" s="267"/>
      <c r="AC497" s="267"/>
      <c r="AD497" s="267"/>
      <c r="AE497" s="267"/>
      <c r="AF497" s="267"/>
      <c r="AG497" s="267"/>
      <c r="AH497" s="267"/>
      <c r="AI497" s="267"/>
      <c r="AJ497" s="267"/>
      <c r="AK497" s="267"/>
      <c r="AL497" s="267"/>
      <c r="AM497" s="267"/>
      <c r="AN497" s="267"/>
      <c r="AO497" s="267"/>
      <c r="AP497" s="267"/>
      <c r="AQ497" s="267"/>
      <c r="AR497" s="267"/>
      <c r="AS497" s="267"/>
      <c r="AT497" s="267"/>
      <c r="AU497" s="267"/>
      <c r="AV497" s="267"/>
      <c r="AW497" s="267"/>
      <c r="AX497" s="267"/>
      <c r="AY497" s="267"/>
      <c r="AZ497" s="267"/>
      <c r="BA497" s="267"/>
      <c r="BB497" s="267"/>
      <c r="BC497" s="267"/>
      <c r="BD497" s="267"/>
      <c r="BE497" s="267"/>
      <c r="BF497" s="267"/>
      <c r="BG497" s="267"/>
      <c r="BH497" s="267"/>
      <c r="BI497" s="267"/>
      <c r="BJ497" s="267"/>
      <c r="BK497" s="82">
        <v>0</v>
      </c>
      <c r="BL497" s="82">
        <v>0</v>
      </c>
      <c r="BM497" s="82">
        <v>0</v>
      </c>
      <c r="BN497" s="81">
        <f t="shared" si="2287"/>
        <v>0</v>
      </c>
      <c r="BO497" s="75">
        <f t="shared" si="2288"/>
        <v>0</v>
      </c>
      <c r="BP497" s="81">
        <f t="shared" si="2289"/>
        <v>0</v>
      </c>
      <c r="BQ497" s="81">
        <f t="shared" si="2290"/>
        <v>0</v>
      </c>
      <c r="BR497" s="81">
        <f t="shared" si="2291"/>
        <v>0</v>
      </c>
      <c r="BS497" s="81">
        <f t="shared" si="2292"/>
        <v>0</v>
      </c>
      <c r="BT497" s="81">
        <f t="shared" si="2293"/>
        <v>0</v>
      </c>
      <c r="BU497" s="81">
        <f t="shared" si="2294"/>
        <v>0</v>
      </c>
      <c r="BV497" s="81">
        <f t="shared" si="2295"/>
        <v>0</v>
      </c>
      <c r="BW497" s="81">
        <f t="shared" si="2296"/>
        <v>0</v>
      </c>
      <c r="BX497" s="1"/>
      <c r="BY497" s="1"/>
      <c r="BZ497" s="1"/>
      <c r="CA497" s="1"/>
      <c r="CB497" s="1"/>
      <c r="CC497" s="1"/>
      <c r="CD497" s="1"/>
      <c r="CE497" s="1"/>
      <c r="CF497" s="1"/>
      <c r="CG497" s="1"/>
    </row>
    <row r="498" spans="1:85" ht="15.75">
      <c r="A498" s="109"/>
      <c r="B498" s="110"/>
      <c r="C498" s="111"/>
      <c r="D498" s="112" t="s">
        <v>632</v>
      </c>
      <c r="E498" s="58">
        <f t="shared" ref="E498:H498" si="2300">SUM(E499:E501)</f>
        <v>0</v>
      </c>
      <c r="F498" s="58">
        <f t="shared" si="2300"/>
        <v>0</v>
      </c>
      <c r="G498" s="58">
        <f t="shared" si="2300"/>
        <v>0</v>
      </c>
      <c r="H498" s="58">
        <f t="shared" si="2300"/>
        <v>1700000</v>
      </c>
      <c r="I498" s="60">
        <f t="shared" si="1737"/>
        <v>0</v>
      </c>
      <c r="J498" s="60">
        <f t="shared" si="1738"/>
        <v>0</v>
      </c>
      <c r="K498" s="58">
        <f t="shared" ref="K498:W498" si="2301">SUM(K499:K501)</f>
        <v>0</v>
      </c>
      <c r="L498" s="58">
        <f t="shared" si="2301"/>
        <v>0</v>
      </c>
      <c r="M498" s="58">
        <f t="shared" si="2301"/>
        <v>0</v>
      </c>
      <c r="N498" s="58">
        <f t="shared" si="2301"/>
        <v>0</v>
      </c>
      <c r="O498" s="58">
        <f t="shared" si="2301"/>
        <v>0</v>
      </c>
      <c r="P498" s="58">
        <f t="shared" si="2301"/>
        <v>0</v>
      </c>
      <c r="Q498" s="58">
        <f t="shared" si="2301"/>
        <v>0</v>
      </c>
      <c r="R498" s="58">
        <f t="shared" si="2301"/>
        <v>0</v>
      </c>
      <c r="S498" s="58">
        <f t="shared" si="2301"/>
        <v>0</v>
      </c>
      <c r="T498" s="58">
        <f t="shared" si="2301"/>
        <v>0</v>
      </c>
      <c r="U498" s="58">
        <f t="shared" si="2301"/>
        <v>0</v>
      </c>
      <c r="V498" s="58">
        <f t="shared" si="2301"/>
        <v>0</v>
      </c>
      <c r="W498" s="58">
        <f t="shared" si="2301"/>
        <v>0</v>
      </c>
      <c r="X498" s="63">
        <f t="shared" ref="X498:Y498" si="2302">IF(O498&gt;0,O498/K498,0)</f>
        <v>0</v>
      </c>
      <c r="Y498" s="63">
        <f t="shared" si="2302"/>
        <v>0</v>
      </c>
      <c r="Z498" s="63">
        <f t="shared" si="1518"/>
        <v>0</v>
      </c>
      <c r="AA498" s="58">
        <f t="shared" ref="AA498:BW498" si="2303">SUM(AA499:AA501)</f>
        <v>0</v>
      </c>
      <c r="AB498" s="58">
        <f t="shared" si="2303"/>
        <v>0</v>
      </c>
      <c r="AC498" s="58">
        <f t="shared" si="2303"/>
        <v>0</v>
      </c>
      <c r="AD498" s="58">
        <f t="shared" si="2303"/>
        <v>0</v>
      </c>
      <c r="AE498" s="58">
        <f t="shared" si="2303"/>
        <v>0</v>
      </c>
      <c r="AF498" s="58">
        <f t="shared" si="2303"/>
        <v>0</v>
      </c>
      <c r="AG498" s="58">
        <f t="shared" si="2303"/>
        <v>0</v>
      </c>
      <c r="AH498" s="58">
        <f t="shared" si="2303"/>
        <v>0</v>
      </c>
      <c r="AI498" s="58">
        <f t="shared" si="2303"/>
        <v>0</v>
      </c>
      <c r="AJ498" s="58">
        <f t="shared" si="2303"/>
        <v>0</v>
      </c>
      <c r="AK498" s="58">
        <f t="shared" si="2303"/>
        <v>0</v>
      </c>
      <c r="AL498" s="58">
        <f t="shared" si="2303"/>
        <v>0</v>
      </c>
      <c r="AM498" s="58">
        <f t="shared" si="2303"/>
        <v>0</v>
      </c>
      <c r="AN498" s="58">
        <f t="shared" si="2303"/>
        <v>0</v>
      </c>
      <c r="AO498" s="58">
        <f t="shared" si="2303"/>
        <v>0</v>
      </c>
      <c r="AP498" s="58">
        <f t="shared" si="2303"/>
        <v>0</v>
      </c>
      <c r="AQ498" s="58">
        <f t="shared" si="2303"/>
        <v>0</v>
      </c>
      <c r="AR498" s="58">
        <f t="shared" si="2303"/>
        <v>0</v>
      </c>
      <c r="AS498" s="58">
        <f t="shared" si="2303"/>
        <v>0</v>
      </c>
      <c r="AT498" s="58">
        <f t="shared" si="2303"/>
        <v>0</v>
      </c>
      <c r="AU498" s="58">
        <f t="shared" si="2303"/>
        <v>0</v>
      </c>
      <c r="AV498" s="58">
        <f t="shared" si="2303"/>
        <v>0</v>
      </c>
      <c r="AW498" s="58">
        <f t="shared" si="2303"/>
        <v>0</v>
      </c>
      <c r="AX498" s="58">
        <f t="shared" si="2303"/>
        <v>0</v>
      </c>
      <c r="AY498" s="58">
        <f t="shared" si="2303"/>
        <v>0</v>
      </c>
      <c r="AZ498" s="58">
        <f t="shared" si="2303"/>
        <v>0</v>
      </c>
      <c r="BA498" s="58">
        <f t="shared" si="2303"/>
        <v>0</v>
      </c>
      <c r="BB498" s="58">
        <f t="shared" si="2303"/>
        <v>0</v>
      </c>
      <c r="BC498" s="58">
        <f t="shared" si="2303"/>
        <v>0</v>
      </c>
      <c r="BD498" s="58">
        <f t="shared" si="2303"/>
        <v>0</v>
      </c>
      <c r="BE498" s="58">
        <f t="shared" si="2303"/>
        <v>0</v>
      </c>
      <c r="BF498" s="58">
        <f t="shared" si="2303"/>
        <v>0</v>
      </c>
      <c r="BG498" s="58">
        <f t="shared" si="2303"/>
        <v>0</v>
      </c>
      <c r="BH498" s="58">
        <f t="shared" si="2303"/>
        <v>0</v>
      </c>
      <c r="BI498" s="58">
        <f t="shared" si="2303"/>
        <v>0</v>
      </c>
      <c r="BJ498" s="58">
        <f t="shared" si="2303"/>
        <v>0</v>
      </c>
      <c r="BK498" s="58">
        <f t="shared" si="2303"/>
        <v>0</v>
      </c>
      <c r="BL498" s="58">
        <f t="shared" si="2303"/>
        <v>0</v>
      </c>
      <c r="BM498" s="58">
        <f t="shared" si="2303"/>
        <v>0</v>
      </c>
      <c r="BN498" s="58">
        <f t="shared" si="2303"/>
        <v>0</v>
      </c>
      <c r="BO498" s="58">
        <f t="shared" si="2303"/>
        <v>0</v>
      </c>
      <c r="BP498" s="58">
        <f t="shared" si="2303"/>
        <v>0</v>
      </c>
      <c r="BQ498" s="58">
        <f t="shared" si="2303"/>
        <v>0</v>
      </c>
      <c r="BR498" s="58">
        <f t="shared" si="2303"/>
        <v>0</v>
      </c>
      <c r="BS498" s="58">
        <f t="shared" si="2303"/>
        <v>0</v>
      </c>
      <c r="BT498" s="58">
        <f t="shared" si="2303"/>
        <v>0</v>
      </c>
      <c r="BU498" s="58">
        <f t="shared" si="2303"/>
        <v>0</v>
      </c>
      <c r="BV498" s="58">
        <f t="shared" si="2303"/>
        <v>0</v>
      </c>
      <c r="BW498" s="58">
        <f t="shared" si="2303"/>
        <v>0</v>
      </c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</row>
    <row r="499" spans="1:85" ht="15.75" customHeight="1">
      <c r="A499" s="125"/>
      <c r="B499" s="85"/>
      <c r="C499" s="86" t="s">
        <v>574</v>
      </c>
      <c r="D499" s="345" t="s">
        <v>659</v>
      </c>
      <c r="E499" s="70"/>
      <c r="F499" s="71"/>
      <c r="G499" s="71">
        <f t="shared" ref="G499:G501" si="2304">E499-F499</f>
        <v>0</v>
      </c>
      <c r="H499" s="196">
        <v>150000</v>
      </c>
      <c r="I499" s="72">
        <f t="shared" si="1737"/>
        <v>0</v>
      </c>
      <c r="J499" s="72">
        <f t="shared" si="1738"/>
        <v>0</v>
      </c>
      <c r="K499" s="88"/>
      <c r="L499" s="74"/>
      <c r="M499" s="81"/>
      <c r="N499" s="73"/>
      <c r="O499" s="77">
        <f t="shared" ref="O499:Q499" si="2305">AA499+AD499+AG499+AJ499+AM499+AP499+AS499+AV499+AY499+BB499+BE499+BH499</f>
        <v>0</v>
      </c>
      <c r="P499" s="77">
        <f t="shared" si="2305"/>
        <v>0</v>
      </c>
      <c r="Q499" s="77">
        <f t="shared" si="2305"/>
        <v>0</v>
      </c>
      <c r="R499" s="77">
        <f t="shared" ref="R499:T499" si="2306">IF(BK499=0,SUM(AA499+AD499+AG499+AJ499+AM499+AP499+AS499+AV499+AY499+BB499+BE499+BH499),BK499)</f>
        <v>0</v>
      </c>
      <c r="S499" s="77">
        <f t="shared" si="2306"/>
        <v>0</v>
      </c>
      <c r="T499" s="77">
        <f t="shared" si="2306"/>
        <v>0</v>
      </c>
      <c r="U499" s="79">
        <f t="shared" ref="U499:U501" si="2307">K499-O499</f>
        <v>0</v>
      </c>
      <c r="V499" s="79">
        <f t="shared" ref="V499:V501" si="2308">L499-M499-S499</f>
        <v>0</v>
      </c>
      <c r="W499" s="78">
        <f t="shared" ref="W499:W501" si="2309">N499-Q499</f>
        <v>0</v>
      </c>
      <c r="X499" s="80">
        <f t="shared" ref="X499:Y499" si="2310">IF(O499&gt;0,O499/K499,0)</f>
        <v>0</v>
      </c>
      <c r="Y499" s="80">
        <f t="shared" si="2310"/>
        <v>0</v>
      </c>
      <c r="Z499" s="80">
        <f t="shared" si="1518"/>
        <v>0</v>
      </c>
      <c r="AA499" s="81"/>
      <c r="AB499" s="81"/>
      <c r="AC499" s="81"/>
      <c r="AD499" s="81"/>
      <c r="AE499" s="83"/>
      <c r="AF499" s="83"/>
      <c r="AG499" s="83"/>
      <c r="AH499" s="83"/>
      <c r="AI499" s="81"/>
      <c r="AJ499" s="81"/>
      <c r="AK499" s="81"/>
      <c r="AL499" s="81"/>
      <c r="AM499" s="81"/>
      <c r="AN499" s="81"/>
      <c r="AO499" s="81"/>
      <c r="AP499" s="81"/>
      <c r="AQ499" s="81"/>
      <c r="AR499" s="81"/>
      <c r="AS499" s="81"/>
      <c r="AT499" s="81"/>
      <c r="AU499" s="81"/>
      <c r="AV499" s="81"/>
      <c r="AW499" s="81"/>
      <c r="AX499" s="81"/>
      <c r="AY499" s="81"/>
      <c r="AZ499" s="81"/>
      <c r="BA499" s="346"/>
      <c r="BB499" s="81"/>
      <c r="BC499" s="81"/>
      <c r="BD499" s="81"/>
      <c r="BE499" s="81"/>
      <c r="BF499" s="81"/>
      <c r="BG499" s="81"/>
      <c r="BH499" s="81"/>
      <c r="BI499" s="81"/>
      <c r="BJ499" s="81"/>
      <c r="BK499" s="82">
        <v>0</v>
      </c>
      <c r="BL499" s="82">
        <v>0</v>
      </c>
      <c r="BM499" s="82">
        <v>0</v>
      </c>
      <c r="BN499" s="81">
        <f t="shared" ref="BN499:BN501" si="2311">IF(O499-BK499&gt;0,O499-BK499,0)</f>
        <v>0</v>
      </c>
      <c r="BO499" s="75">
        <f t="shared" ref="BO499:BO501" si="2312">IF(Q499-BM499&gt;0,Q499-BM499,0)</f>
        <v>0</v>
      </c>
      <c r="BP499" s="81">
        <f t="shared" ref="BP499:BP501" si="2313">IF(BN499+BO499&gt;0,BN499+BO499,0)</f>
        <v>0</v>
      </c>
      <c r="BQ499" s="81">
        <f t="shared" ref="BQ499:BQ501" si="2314">IF(U499=0,0,U499)</f>
        <v>0</v>
      </c>
      <c r="BR499" s="81">
        <f t="shared" ref="BR499:BR501" si="2315">IF(W499=0,0,W499)</f>
        <v>0</v>
      </c>
      <c r="BS499" s="81">
        <f t="shared" ref="BS499:BS501" si="2316">IF(BQ499+BR499&gt;0,BQ499+BR499,0)</f>
        <v>0</v>
      </c>
      <c r="BT499" s="81">
        <f t="shared" ref="BT499:BT501" si="2317">IF(V499&gt;0,V499,0)</f>
        <v>0</v>
      </c>
      <c r="BU499" s="81">
        <f t="shared" ref="BU499:BU501" si="2318">IF(BP499=0,0,BP499)</f>
        <v>0</v>
      </c>
      <c r="BV499" s="81">
        <f t="shared" ref="BV499:BV501" si="2319">IF(BS499=0,0,BS499)</f>
        <v>0</v>
      </c>
      <c r="BW499" s="81">
        <f t="shared" ref="BW499:BW501" si="2320">IF(BP499+BT499+BV499&gt;0,BP499+BT499+BV499,0)</f>
        <v>0</v>
      </c>
      <c r="BX499" s="1"/>
      <c r="BY499" s="1"/>
      <c r="BZ499" s="1"/>
      <c r="CA499" s="1"/>
      <c r="CB499" s="1"/>
      <c r="CC499" s="1"/>
      <c r="CD499" s="1"/>
      <c r="CE499" s="1"/>
      <c r="CF499" s="1"/>
      <c r="CG499" s="1"/>
    </row>
    <row r="500" spans="1:85" ht="15.75" customHeight="1">
      <c r="A500" s="84"/>
      <c r="B500" s="115"/>
      <c r="C500" s="86" t="s">
        <v>448</v>
      </c>
      <c r="D500" s="87" t="s">
        <v>449</v>
      </c>
      <c r="E500" s="70"/>
      <c r="F500" s="71"/>
      <c r="G500" s="71">
        <f t="shared" si="2304"/>
        <v>0</v>
      </c>
      <c r="H500" s="196">
        <v>850000</v>
      </c>
      <c r="I500" s="72">
        <f t="shared" si="1737"/>
        <v>0</v>
      </c>
      <c r="J500" s="72">
        <f t="shared" si="1738"/>
        <v>0</v>
      </c>
      <c r="K500" s="88"/>
      <c r="L500" s="74"/>
      <c r="M500" s="81"/>
      <c r="N500" s="107"/>
      <c r="O500" s="77">
        <f t="shared" ref="O500:Q500" si="2321">AA500+AD500+AG500+AJ500+AM500+AP500+AS500+AV500+AY500+BB500+BE500+BH500</f>
        <v>0</v>
      </c>
      <c r="P500" s="77">
        <f t="shared" si="2321"/>
        <v>0</v>
      </c>
      <c r="Q500" s="77">
        <f t="shared" si="2321"/>
        <v>0</v>
      </c>
      <c r="R500" s="77">
        <f t="shared" ref="R500:T500" si="2322">IF(BK500=0,SUM(AA500+AD500+AG500+AJ500+AM500+AP500+AS500+AV500+AY500+BB500+BE500+BH500),BK500)</f>
        <v>0</v>
      </c>
      <c r="S500" s="77">
        <f t="shared" si="2322"/>
        <v>0</v>
      </c>
      <c r="T500" s="77">
        <f t="shared" si="2322"/>
        <v>0</v>
      </c>
      <c r="U500" s="79">
        <f t="shared" si="2307"/>
        <v>0</v>
      </c>
      <c r="V500" s="79">
        <f t="shared" si="2308"/>
        <v>0</v>
      </c>
      <c r="W500" s="79">
        <f t="shared" si="2309"/>
        <v>0</v>
      </c>
      <c r="X500" s="80">
        <f t="shared" ref="X500:Y500" si="2323">IF(O500&gt;0,O500/K500,0)</f>
        <v>0</v>
      </c>
      <c r="Y500" s="80">
        <f t="shared" si="2323"/>
        <v>0</v>
      </c>
      <c r="Z500" s="80">
        <f t="shared" si="1518"/>
        <v>0</v>
      </c>
      <c r="AA500" s="81"/>
      <c r="AB500" s="81"/>
      <c r="AC500" s="81"/>
      <c r="AD500" s="81"/>
      <c r="AE500" s="83"/>
      <c r="AF500" s="83"/>
      <c r="AG500" s="83"/>
      <c r="AH500" s="83"/>
      <c r="AI500" s="81"/>
      <c r="AJ500" s="81"/>
      <c r="AK500" s="75"/>
      <c r="AL500" s="81"/>
      <c r="AM500" s="81"/>
      <c r="AN500" s="75"/>
      <c r="AO500" s="81"/>
      <c r="AP500" s="81"/>
      <c r="AQ500" s="75"/>
      <c r="AR500" s="75"/>
      <c r="AS500" s="81"/>
      <c r="AT500" s="81"/>
      <c r="AU500" s="75"/>
      <c r="AV500" s="81"/>
      <c r="AW500" s="75"/>
      <c r="AX500" s="75"/>
      <c r="AY500" s="81"/>
      <c r="AZ500" s="81"/>
      <c r="BA500" s="348"/>
      <c r="BB500" s="81"/>
      <c r="BC500" s="81"/>
      <c r="BD500" s="81"/>
      <c r="BE500" s="81"/>
      <c r="BF500" s="81"/>
      <c r="BG500" s="81"/>
      <c r="BH500" s="81"/>
      <c r="BI500" s="81"/>
      <c r="BJ500" s="81"/>
      <c r="BK500" s="82">
        <v>0</v>
      </c>
      <c r="BL500" s="82">
        <v>0</v>
      </c>
      <c r="BM500" s="82">
        <v>0</v>
      </c>
      <c r="BN500" s="81">
        <f t="shared" si="2311"/>
        <v>0</v>
      </c>
      <c r="BO500" s="75">
        <f t="shared" si="2312"/>
        <v>0</v>
      </c>
      <c r="BP500" s="81">
        <f t="shared" si="2313"/>
        <v>0</v>
      </c>
      <c r="BQ500" s="81">
        <f t="shared" si="2314"/>
        <v>0</v>
      </c>
      <c r="BR500" s="81">
        <f t="shared" si="2315"/>
        <v>0</v>
      </c>
      <c r="BS500" s="81">
        <f t="shared" si="2316"/>
        <v>0</v>
      </c>
      <c r="BT500" s="81">
        <f t="shared" si="2317"/>
        <v>0</v>
      </c>
      <c r="BU500" s="81">
        <f t="shared" si="2318"/>
        <v>0</v>
      </c>
      <c r="BV500" s="81">
        <f t="shared" si="2319"/>
        <v>0</v>
      </c>
      <c r="BW500" s="81">
        <f t="shared" si="2320"/>
        <v>0</v>
      </c>
      <c r="BX500" s="1"/>
      <c r="BY500" s="1"/>
      <c r="BZ500" s="1"/>
      <c r="CA500" s="1"/>
      <c r="CB500" s="1"/>
      <c r="CC500" s="1"/>
      <c r="CD500" s="1"/>
      <c r="CE500" s="1"/>
      <c r="CF500" s="1"/>
      <c r="CG500" s="1"/>
    </row>
    <row r="501" spans="1:85" ht="15.75" customHeight="1">
      <c r="A501" s="84"/>
      <c r="B501" s="115"/>
      <c r="C501" s="86" t="s">
        <v>448</v>
      </c>
      <c r="D501" s="87" t="s">
        <v>449</v>
      </c>
      <c r="E501" s="70"/>
      <c r="F501" s="71"/>
      <c r="G501" s="71">
        <f t="shared" si="2304"/>
        <v>0</v>
      </c>
      <c r="H501" s="196">
        <v>700000</v>
      </c>
      <c r="I501" s="72">
        <f t="shared" si="1737"/>
        <v>0</v>
      </c>
      <c r="J501" s="72">
        <f t="shared" si="1738"/>
        <v>0</v>
      </c>
      <c r="K501" s="88"/>
      <c r="L501" s="74"/>
      <c r="M501" s="81"/>
      <c r="N501" s="88"/>
      <c r="O501" s="77">
        <f t="shared" ref="O501:Q501" si="2324">AA501+AD501+AG501+AJ501+AM501+AP501+AS501+AV501+AY501+BB501+BE501+BH501</f>
        <v>0</v>
      </c>
      <c r="P501" s="77">
        <f t="shared" si="2324"/>
        <v>0</v>
      </c>
      <c r="Q501" s="77">
        <f t="shared" si="2324"/>
        <v>0</v>
      </c>
      <c r="R501" s="77">
        <f t="shared" ref="R501:T501" si="2325">IF(BK501=0,SUM(AA501+AD501+AG501+AJ501+AM501+AP501+AS501+AV501+AY501+BB501+BE501+BH501),BK501)</f>
        <v>0</v>
      </c>
      <c r="S501" s="77">
        <f t="shared" si="2325"/>
        <v>0</v>
      </c>
      <c r="T501" s="77">
        <f t="shared" si="2325"/>
        <v>0</v>
      </c>
      <c r="U501" s="79">
        <f t="shared" si="2307"/>
        <v>0</v>
      </c>
      <c r="V501" s="79">
        <f t="shared" si="2308"/>
        <v>0</v>
      </c>
      <c r="W501" s="79">
        <f t="shared" si="2309"/>
        <v>0</v>
      </c>
      <c r="X501" s="80">
        <f t="shared" ref="X501:Y501" si="2326">IF(O501&gt;0,O501/K501,0)</f>
        <v>0</v>
      </c>
      <c r="Y501" s="80">
        <f t="shared" si="2326"/>
        <v>0</v>
      </c>
      <c r="Z501" s="80">
        <f t="shared" si="1518"/>
        <v>0</v>
      </c>
      <c r="AA501" s="81"/>
      <c r="AB501" s="81"/>
      <c r="AC501" s="81"/>
      <c r="AD501" s="81"/>
      <c r="AE501" s="83"/>
      <c r="AF501" s="83"/>
      <c r="AG501" s="83"/>
      <c r="AH501" s="83"/>
      <c r="AI501" s="81"/>
      <c r="AJ501" s="81"/>
      <c r="AK501" s="75"/>
      <c r="AL501" s="81"/>
      <c r="AM501" s="81"/>
      <c r="AN501" s="75"/>
      <c r="AO501" s="81"/>
      <c r="AP501" s="81"/>
      <c r="AQ501" s="75"/>
      <c r="AR501" s="75"/>
      <c r="AS501" s="81"/>
      <c r="AT501" s="81"/>
      <c r="AU501" s="75"/>
      <c r="AV501" s="81"/>
      <c r="AW501" s="75"/>
      <c r="AX501" s="75"/>
      <c r="AY501" s="81"/>
      <c r="AZ501" s="81"/>
      <c r="BA501" s="81"/>
      <c r="BB501" s="81"/>
      <c r="BC501" s="81"/>
      <c r="BD501" s="81"/>
      <c r="BE501" s="81"/>
      <c r="BF501" s="81"/>
      <c r="BG501" s="81"/>
      <c r="BH501" s="81"/>
      <c r="BI501" s="81"/>
      <c r="BJ501" s="81"/>
      <c r="BK501" s="82">
        <v>0</v>
      </c>
      <c r="BL501" s="82">
        <v>0</v>
      </c>
      <c r="BM501" s="82">
        <v>0</v>
      </c>
      <c r="BN501" s="81">
        <f t="shared" si="2311"/>
        <v>0</v>
      </c>
      <c r="BO501" s="75">
        <f t="shared" si="2312"/>
        <v>0</v>
      </c>
      <c r="BP501" s="81">
        <f t="shared" si="2313"/>
        <v>0</v>
      </c>
      <c r="BQ501" s="81">
        <f t="shared" si="2314"/>
        <v>0</v>
      </c>
      <c r="BR501" s="81">
        <f t="shared" si="2315"/>
        <v>0</v>
      </c>
      <c r="BS501" s="81">
        <f t="shared" si="2316"/>
        <v>0</v>
      </c>
      <c r="BT501" s="81">
        <f t="shared" si="2317"/>
        <v>0</v>
      </c>
      <c r="BU501" s="81">
        <f t="shared" si="2318"/>
        <v>0</v>
      </c>
      <c r="BV501" s="81">
        <f t="shared" si="2319"/>
        <v>0</v>
      </c>
      <c r="BW501" s="81">
        <f t="shared" si="2320"/>
        <v>0</v>
      </c>
      <c r="BX501" s="1"/>
      <c r="BY501" s="1"/>
      <c r="BZ501" s="1"/>
      <c r="CA501" s="1"/>
      <c r="CB501" s="1"/>
      <c r="CC501" s="1"/>
      <c r="CD501" s="1"/>
      <c r="CE501" s="1"/>
      <c r="CF501" s="1"/>
      <c r="CG501" s="1"/>
    </row>
    <row r="502" spans="1:85" ht="15.75" customHeight="1">
      <c r="A502" s="270"/>
      <c r="B502" s="271"/>
      <c r="C502" s="272"/>
      <c r="D502" s="112" t="s">
        <v>365</v>
      </c>
      <c r="E502" s="58">
        <f t="shared" ref="E502:H502" si="2327">E503+E504</f>
        <v>0</v>
      </c>
      <c r="F502" s="58">
        <f t="shared" si="2327"/>
        <v>0</v>
      </c>
      <c r="G502" s="58">
        <f t="shared" si="2327"/>
        <v>0</v>
      </c>
      <c r="H502" s="58">
        <f t="shared" si="2327"/>
        <v>300000</v>
      </c>
      <c r="I502" s="60">
        <f t="shared" si="1737"/>
        <v>0</v>
      </c>
      <c r="J502" s="60">
        <f t="shared" si="1738"/>
        <v>0</v>
      </c>
      <c r="K502" s="58">
        <f t="shared" ref="K502:W502" si="2328">K503+K504</f>
        <v>0</v>
      </c>
      <c r="L502" s="58">
        <f t="shared" si="2328"/>
        <v>0</v>
      </c>
      <c r="M502" s="58">
        <f t="shared" si="2328"/>
        <v>0</v>
      </c>
      <c r="N502" s="58">
        <f t="shared" si="2328"/>
        <v>0</v>
      </c>
      <c r="O502" s="58">
        <f t="shared" si="2328"/>
        <v>0</v>
      </c>
      <c r="P502" s="58">
        <f t="shared" si="2328"/>
        <v>0</v>
      </c>
      <c r="Q502" s="58">
        <f t="shared" si="2328"/>
        <v>0</v>
      </c>
      <c r="R502" s="58">
        <f t="shared" si="2328"/>
        <v>0</v>
      </c>
      <c r="S502" s="58">
        <f t="shared" si="2328"/>
        <v>0</v>
      </c>
      <c r="T502" s="58">
        <f t="shared" si="2328"/>
        <v>0</v>
      </c>
      <c r="U502" s="58">
        <f t="shared" si="2328"/>
        <v>0</v>
      </c>
      <c r="V502" s="58">
        <f t="shared" si="2328"/>
        <v>0</v>
      </c>
      <c r="W502" s="58">
        <f t="shared" si="2328"/>
        <v>0</v>
      </c>
      <c r="X502" s="63">
        <f t="shared" ref="X502:Y502" si="2329">IF(O502&gt;0,O502/K502,0)</f>
        <v>0</v>
      </c>
      <c r="Y502" s="63">
        <f t="shared" si="2329"/>
        <v>0</v>
      </c>
      <c r="Z502" s="63">
        <f t="shared" si="1518"/>
        <v>0</v>
      </c>
      <c r="AA502" s="58">
        <f t="shared" ref="AA502:BW502" si="2330">AA503+AA504</f>
        <v>0</v>
      </c>
      <c r="AB502" s="58">
        <f t="shared" si="2330"/>
        <v>0</v>
      </c>
      <c r="AC502" s="58">
        <f t="shared" si="2330"/>
        <v>0</v>
      </c>
      <c r="AD502" s="58">
        <f t="shared" si="2330"/>
        <v>0</v>
      </c>
      <c r="AE502" s="58">
        <f t="shared" si="2330"/>
        <v>0</v>
      </c>
      <c r="AF502" s="58">
        <f t="shared" si="2330"/>
        <v>0</v>
      </c>
      <c r="AG502" s="58">
        <f t="shared" si="2330"/>
        <v>0</v>
      </c>
      <c r="AH502" s="58">
        <f t="shared" si="2330"/>
        <v>0</v>
      </c>
      <c r="AI502" s="58">
        <f t="shared" si="2330"/>
        <v>0</v>
      </c>
      <c r="AJ502" s="58">
        <f t="shared" si="2330"/>
        <v>0</v>
      </c>
      <c r="AK502" s="58">
        <f t="shared" si="2330"/>
        <v>0</v>
      </c>
      <c r="AL502" s="58">
        <f t="shared" si="2330"/>
        <v>0</v>
      </c>
      <c r="AM502" s="58">
        <f t="shared" si="2330"/>
        <v>0</v>
      </c>
      <c r="AN502" s="58">
        <f t="shared" si="2330"/>
        <v>0</v>
      </c>
      <c r="AO502" s="58">
        <f t="shared" si="2330"/>
        <v>0</v>
      </c>
      <c r="AP502" s="58">
        <f t="shared" si="2330"/>
        <v>0</v>
      </c>
      <c r="AQ502" s="58">
        <f t="shared" si="2330"/>
        <v>0</v>
      </c>
      <c r="AR502" s="58">
        <f t="shared" si="2330"/>
        <v>0</v>
      </c>
      <c r="AS502" s="58">
        <f t="shared" si="2330"/>
        <v>0</v>
      </c>
      <c r="AT502" s="58">
        <f t="shared" si="2330"/>
        <v>0</v>
      </c>
      <c r="AU502" s="58">
        <f t="shared" si="2330"/>
        <v>0</v>
      </c>
      <c r="AV502" s="58">
        <f t="shared" si="2330"/>
        <v>0</v>
      </c>
      <c r="AW502" s="58">
        <f t="shared" si="2330"/>
        <v>0</v>
      </c>
      <c r="AX502" s="58">
        <f t="shared" si="2330"/>
        <v>0</v>
      </c>
      <c r="AY502" s="58">
        <f t="shared" si="2330"/>
        <v>0</v>
      </c>
      <c r="AZ502" s="58">
        <f t="shared" si="2330"/>
        <v>0</v>
      </c>
      <c r="BA502" s="58">
        <f t="shared" si="2330"/>
        <v>0</v>
      </c>
      <c r="BB502" s="58">
        <f t="shared" si="2330"/>
        <v>0</v>
      </c>
      <c r="BC502" s="58">
        <f t="shared" si="2330"/>
        <v>0</v>
      </c>
      <c r="BD502" s="58">
        <f t="shared" si="2330"/>
        <v>0</v>
      </c>
      <c r="BE502" s="58">
        <f t="shared" si="2330"/>
        <v>0</v>
      </c>
      <c r="BF502" s="58">
        <f t="shared" si="2330"/>
        <v>0</v>
      </c>
      <c r="BG502" s="58">
        <f t="shared" si="2330"/>
        <v>0</v>
      </c>
      <c r="BH502" s="58">
        <f t="shared" si="2330"/>
        <v>0</v>
      </c>
      <c r="BI502" s="58">
        <f t="shared" si="2330"/>
        <v>0</v>
      </c>
      <c r="BJ502" s="58">
        <f t="shared" si="2330"/>
        <v>0</v>
      </c>
      <c r="BK502" s="58">
        <f t="shared" si="2330"/>
        <v>0</v>
      </c>
      <c r="BL502" s="58">
        <f t="shared" si="2330"/>
        <v>0</v>
      </c>
      <c r="BM502" s="58">
        <f t="shared" si="2330"/>
        <v>0</v>
      </c>
      <c r="BN502" s="58">
        <f t="shared" si="2330"/>
        <v>0</v>
      </c>
      <c r="BO502" s="58">
        <f t="shared" si="2330"/>
        <v>0</v>
      </c>
      <c r="BP502" s="58">
        <f t="shared" si="2330"/>
        <v>0</v>
      </c>
      <c r="BQ502" s="58">
        <f t="shared" si="2330"/>
        <v>0</v>
      </c>
      <c r="BR502" s="58">
        <f t="shared" si="2330"/>
        <v>0</v>
      </c>
      <c r="BS502" s="58">
        <f t="shared" si="2330"/>
        <v>0</v>
      </c>
      <c r="BT502" s="58">
        <f t="shared" si="2330"/>
        <v>0</v>
      </c>
      <c r="BU502" s="58">
        <f t="shared" si="2330"/>
        <v>0</v>
      </c>
      <c r="BV502" s="58">
        <f t="shared" si="2330"/>
        <v>0</v>
      </c>
      <c r="BW502" s="58">
        <f t="shared" si="2330"/>
        <v>0</v>
      </c>
      <c r="BX502" s="1"/>
      <c r="BY502" s="1"/>
      <c r="BZ502" s="1"/>
      <c r="CA502" s="1"/>
      <c r="CB502" s="1"/>
      <c r="CC502" s="1"/>
      <c r="CD502" s="1"/>
      <c r="CE502" s="1"/>
      <c r="CF502" s="1"/>
      <c r="CG502" s="1"/>
    </row>
    <row r="503" spans="1:85" ht="15.75" customHeight="1">
      <c r="A503" s="108"/>
      <c r="B503" s="90"/>
      <c r="C503" s="91" t="s">
        <v>807</v>
      </c>
      <c r="D503" s="92" t="s">
        <v>813</v>
      </c>
      <c r="E503" s="70"/>
      <c r="F503" s="71"/>
      <c r="G503" s="71">
        <f t="shared" ref="G503:G504" si="2331">E503-F503</f>
        <v>0</v>
      </c>
      <c r="H503" s="196">
        <v>100000</v>
      </c>
      <c r="I503" s="72">
        <f t="shared" si="1737"/>
        <v>0</v>
      </c>
      <c r="J503" s="72">
        <f t="shared" si="1738"/>
        <v>0</v>
      </c>
      <c r="K503" s="252"/>
      <c r="L503" s="74"/>
      <c r="M503" s="81"/>
      <c r="N503" s="107"/>
      <c r="O503" s="77">
        <f t="shared" ref="O503:Q503" si="2332">AA503+AD503+AG503+AJ503+AM503+AP503+AS503+AV503+AY503+BB503+BE503+BH503</f>
        <v>0</v>
      </c>
      <c r="P503" s="77">
        <f t="shared" si="2332"/>
        <v>0</v>
      </c>
      <c r="Q503" s="77">
        <f t="shared" si="2332"/>
        <v>0</v>
      </c>
      <c r="R503" s="77">
        <f t="shared" ref="R503:T503" si="2333">IF(BK503=0,SUM(AA503+AD503+AG503+AJ503+AM503+AP503+AS503+AV503+AY503+BB503+BE503+BH503),BK503)</f>
        <v>0</v>
      </c>
      <c r="S503" s="77">
        <f t="shared" si="2333"/>
        <v>0</v>
      </c>
      <c r="T503" s="77">
        <f t="shared" si="2333"/>
        <v>0</v>
      </c>
      <c r="U503" s="79">
        <f t="shared" ref="U503:U504" si="2334">K503-O503</f>
        <v>0</v>
      </c>
      <c r="V503" s="79">
        <f t="shared" ref="V503:V504" si="2335">L503-M503-S503</f>
        <v>0</v>
      </c>
      <c r="W503" s="79">
        <f t="shared" ref="W503:W504" si="2336">N503-Q503</f>
        <v>0</v>
      </c>
      <c r="X503" s="80">
        <f t="shared" ref="X503:Y503" si="2337">IF(O503&gt;0,O503/K503,0)</f>
        <v>0</v>
      </c>
      <c r="Y503" s="80">
        <f t="shared" si="2337"/>
        <v>0</v>
      </c>
      <c r="Z503" s="80">
        <f t="shared" si="1518"/>
        <v>0</v>
      </c>
      <c r="AA503" s="81"/>
      <c r="AB503" s="81"/>
      <c r="AC503" s="81"/>
      <c r="AD503" s="81"/>
      <c r="AE503" s="83"/>
      <c r="AF503" s="83"/>
      <c r="AG503" s="83"/>
      <c r="AH503" s="83"/>
      <c r="AI503" s="81"/>
      <c r="AJ503" s="81"/>
      <c r="AK503" s="81"/>
      <c r="AL503" s="81"/>
      <c r="AM503" s="81"/>
      <c r="AN503" s="81"/>
      <c r="AO503" s="81"/>
      <c r="AP503" s="81"/>
      <c r="AQ503" s="81"/>
      <c r="AR503" s="81"/>
      <c r="AS503" s="81"/>
      <c r="AT503" s="81"/>
      <c r="AU503" s="81"/>
      <c r="AV503" s="81"/>
      <c r="AW503" s="81"/>
      <c r="AX503" s="81"/>
      <c r="AY503" s="81"/>
      <c r="AZ503" s="81"/>
      <c r="BA503" s="81"/>
      <c r="BB503" s="81"/>
      <c r="BC503" s="81"/>
      <c r="BD503" s="81"/>
      <c r="BE503" s="81"/>
      <c r="BF503" s="81"/>
      <c r="BG503" s="81"/>
      <c r="BH503" s="81"/>
      <c r="BI503" s="81"/>
      <c r="BJ503" s="81"/>
      <c r="BK503" s="82">
        <v>0</v>
      </c>
      <c r="BL503" s="82">
        <v>0</v>
      </c>
      <c r="BM503" s="82">
        <v>0</v>
      </c>
      <c r="BN503" s="81">
        <f t="shared" ref="BN503:BN504" si="2338">IF(O503-BK503&gt;0,O503-BK503,0)</f>
        <v>0</v>
      </c>
      <c r="BO503" s="75">
        <f t="shared" ref="BO503:BO504" si="2339">IF(Q503-BM503&gt;0,Q503-BM503,0)</f>
        <v>0</v>
      </c>
      <c r="BP503" s="81">
        <f t="shared" ref="BP503:BP504" si="2340">IF(BN503+BO503&gt;0,BN503+BO503,0)</f>
        <v>0</v>
      </c>
      <c r="BQ503" s="81">
        <f t="shared" ref="BQ503:BQ504" si="2341">IF(U503=0,0,U503)</f>
        <v>0</v>
      </c>
      <c r="BR503" s="81">
        <f t="shared" ref="BR503:BR504" si="2342">IF(W503=0,0,W503)</f>
        <v>0</v>
      </c>
      <c r="BS503" s="81">
        <f t="shared" ref="BS503:BS504" si="2343">IF(BQ503+BR503&gt;0,BQ503+BR503,0)</f>
        <v>0</v>
      </c>
      <c r="BT503" s="81">
        <f t="shared" ref="BT503:BT504" si="2344">IF(V503&gt;0,V503,0)</f>
        <v>0</v>
      </c>
      <c r="BU503" s="81">
        <f t="shared" ref="BU503:BU504" si="2345">IF(BP503=0,0,BP503)</f>
        <v>0</v>
      </c>
      <c r="BV503" s="81">
        <f t="shared" ref="BV503:BV504" si="2346">IF(BS503=0,0,BS503)</f>
        <v>0</v>
      </c>
      <c r="BW503" s="81">
        <f t="shared" ref="BW503:BW504" si="2347">IF(BP503+BT503+BV503&gt;0,BP503+BT503+BV503,0)</f>
        <v>0</v>
      </c>
      <c r="BX503" s="1"/>
      <c r="BY503" s="1"/>
      <c r="BZ503" s="1"/>
      <c r="CA503" s="1"/>
      <c r="CB503" s="1"/>
      <c r="CC503" s="1"/>
      <c r="CD503" s="1"/>
      <c r="CE503" s="1"/>
      <c r="CF503" s="1"/>
      <c r="CG503" s="1"/>
    </row>
    <row r="504" spans="1:85" ht="15.75" customHeight="1">
      <c r="A504" s="84"/>
      <c r="B504" s="115"/>
      <c r="C504" s="148" t="s">
        <v>814</v>
      </c>
      <c r="D504" s="149" t="s">
        <v>815</v>
      </c>
      <c r="E504" s="70"/>
      <c r="F504" s="71"/>
      <c r="G504" s="71">
        <f t="shared" si="2331"/>
        <v>0</v>
      </c>
      <c r="H504" s="196">
        <v>200000</v>
      </c>
      <c r="I504" s="72">
        <f t="shared" si="1737"/>
        <v>0</v>
      </c>
      <c r="J504" s="72">
        <f t="shared" si="1738"/>
        <v>0</v>
      </c>
      <c r="K504" s="88"/>
      <c r="L504" s="74"/>
      <c r="M504" s="81"/>
      <c r="N504" s="107"/>
      <c r="O504" s="77">
        <f t="shared" ref="O504:Q504" si="2348">AA504+AD504+AG504+AJ504+AM504+AP504+AS504+AV504+AY504+BB504+BE504+BH504</f>
        <v>0</v>
      </c>
      <c r="P504" s="77">
        <f t="shared" si="2348"/>
        <v>0</v>
      </c>
      <c r="Q504" s="77">
        <f t="shared" si="2348"/>
        <v>0</v>
      </c>
      <c r="R504" s="77">
        <f t="shared" ref="R504:T504" si="2349">IF(BK504=0,SUM(AA504+AD504+AG504+AJ504+AM504+AP504+AS504+AV504+AY504+BB504+BE504+BH504),BK504)</f>
        <v>0</v>
      </c>
      <c r="S504" s="77">
        <f t="shared" si="2349"/>
        <v>0</v>
      </c>
      <c r="T504" s="77">
        <f t="shared" si="2349"/>
        <v>0</v>
      </c>
      <c r="U504" s="79">
        <f t="shared" si="2334"/>
        <v>0</v>
      </c>
      <c r="V504" s="79">
        <f t="shared" si="2335"/>
        <v>0</v>
      </c>
      <c r="W504" s="79">
        <f t="shared" si="2336"/>
        <v>0</v>
      </c>
      <c r="X504" s="80">
        <f t="shared" ref="X504:Y504" si="2350">IF(O504&gt;0,O504/K504,0)</f>
        <v>0</v>
      </c>
      <c r="Y504" s="80">
        <f t="shared" si="2350"/>
        <v>0</v>
      </c>
      <c r="Z504" s="80">
        <f t="shared" si="1518"/>
        <v>0</v>
      </c>
      <c r="AA504" s="81"/>
      <c r="AB504" s="81"/>
      <c r="AC504" s="81"/>
      <c r="AD504" s="81"/>
      <c r="AE504" s="83"/>
      <c r="AF504" s="83"/>
      <c r="AG504" s="83"/>
      <c r="AH504" s="83"/>
      <c r="AI504" s="81"/>
      <c r="AJ504" s="81"/>
      <c r="AK504" s="81"/>
      <c r="AL504" s="81"/>
      <c r="AM504" s="81"/>
      <c r="AN504" s="81"/>
      <c r="AO504" s="81"/>
      <c r="AP504" s="81"/>
      <c r="AQ504" s="81"/>
      <c r="AR504" s="81"/>
      <c r="AS504" s="81"/>
      <c r="AT504" s="81"/>
      <c r="AU504" s="81"/>
      <c r="AV504" s="81"/>
      <c r="AW504" s="81"/>
      <c r="AX504" s="81"/>
      <c r="AY504" s="81"/>
      <c r="AZ504" s="81"/>
      <c r="BA504" s="81"/>
      <c r="BB504" s="81"/>
      <c r="BC504" s="81"/>
      <c r="BD504" s="81"/>
      <c r="BE504" s="81"/>
      <c r="BF504" s="81"/>
      <c r="BG504" s="81"/>
      <c r="BH504" s="81"/>
      <c r="BI504" s="81"/>
      <c r="BJ504" s="81"/>
      <c r="BK504" s="82">
        <v>0</v>
      </c>
      <c r="BL504" s="82">
        <v>0</v>
      </c>
      <c r="BM504" s="82">
        <v>0</v>
      </c>
      <c r="BN504" s="81">
        <f t="shared" si="2338"/>
        <v>0</v>
      </c>
      <c r="BO504" s="75">
        <f t="shared" si="2339"/>
        <v>0</v>
      </c>
      <c r="BP504" s="81">
        <f t="shared" si="2340"/>
        <v>0</v>
      </c>
      <c r="BQ504" s="81">
        <f t="shared" si="2341"/>
        <v>0</v>
      </c>
      <c r="BR504" s="81">
        <f t="shared" si="2342"/>
        <v>0</v>
      </c>
      <c r="BS504" s="81">
        <f t="shared" si="2343"/>
        <v>0</v>
      </c>
      <c r="BT504" s="81">
        <f t="shared" si="2344"/>
        <v>0</v>
      </c>
      <c r="BU504" s="81">
        <f t="shared" si="2345"/>
        <v>0</v>
      </c>
      <c r="BV504" s="81">
        <f t="shared" si="2346"/>
        <v>0</v>
      </c>
      <c r="BW504" s="81">
        <f t="shared" si="2347"/>
        <v>0</v>
      </c>
      <c r="BX504" s="1"/>
      <c r="BY504" s="1"/>
      <c r="BZ504" s="1"/>
      <c r="CA504" s="1"/>
      <c r="CB504" s="1"/>
      <c r="CC504" s="1"/>
      <c r="CD504" s="1"/>
      <c r="CE504" s="1"/>
      <c r="CF504" s="1"/>
      <c r="CG504" s="1"/>
    </row>
    <row r="505" spans="1:85" ht="15.75">
      <c r="A505" s="270"/>
      <c r="B505" s="271"/>
      <c r="C505" s="272"/>
      <c r="D505" s="112" t="s">
        <v>397</v>
      </c>
      <c r="E505" s="286">
        <f t="shared" ref="E505:H505" si="2351">SUM(E506+E508)</f>
        <v>0</v>
      </c>
      <c r="F505" s="286">
        <f t="shared" si="2351"/>
        <v>0</v>
      </c>
      <c r="G505" s="286">
        <f t="shared" si="2351"/>
        <v>0</v>
      </c>
      <c r="H505" s="286">
        <f t="shared" si="2351"/>
        <v>0</v>
      </c>
      <c r="I505" s="287">
        <f t="shared" si="1737"/>
        <v>0</v>
      </c>
      <c r="J505" s="287">
        <f t="shared" si="1738"/>
        <v>0</v>
      </c>
      <c r="K505" s="286">
        <f t="shared" ref="K505:W505" si="2352">SUM(K506+K508)</f>
        <v>0</v>
      </c>
      <c r="L505" s="286">
        <f t="shared" si="2352"/>
        <v>0</v>
      </c>
      <c r="M505" s="286">
        <f t="shared" si="2352"/>
        <v>0</v>
      </c>
      <c r="N505" s="286">
        <f t="shared" si="2352"/>
        <v>53323.46</v>
      </c>
      <c r="O505" s="286">
        <f t="shared" si="2352"/>
        <v>0</v>
      </c>
      <c r="P505" s="286">
        <f t="shared" si="2352"/>
        <v>0</v>
      </c>
      <c r="Q505" s="286">
        <f t="shared" si="2352"/>
        <v>38980.46</v>
      </c>
      <c r="R505" s="286">
        <f t="shared" si="2352"/>
        <v>0</v>
      </c>
      <c r="S505" s="286">
        <f t="shared" si="2352"/>
        <v>0</v>
      </c>
      <c r="T505" s="286">
        <f t="shared" si="2352"/>
        <v>38980.46</v>
      </c>
      <c r="U505" s="286">
        <f t="shared" si="2352"/>
        <v>0</v>
      </c>
      <c r="V505" s="286">
        <f t="shared" si="2352"/>
        <v>0</v>
      </c>
      <c r="W505" s="286">
        <f t="shared" si="2352"/>
        <v>14343</v>
      </c>
      <c r="X505" s="288">
        <f t="shared" ref="X505:Y505" si="2353">IF(O505&gt;0,O505/K505,0)</f>
        <v>0</v>
      </c>
      <c r="Y505" s="288">
        <f t="shared" si="2353"/>
        <v>0</v>
      </c>
      <c r="Z505" s="288">
        <f t="shared" si="1518"/>
        <v>0.73101895488402291</v>
      </c>
      <c r="AA505" s="286">
        <f t="shared" ref="AA505:BW505" si="2354">SUM(AA506+AA508)</f>
        <v>0</v>
      </c>
      <c r="AB505" s="286">
        <f t="shared" si="2354"/>
        <v>0</v>
      </c>
      <c r="AC505" s="286">
        <f t="shared" si="2354"/>
        <v>0</v>
      </c>
      <c r="AD505" s="286">
        <f t="shared" si="2354"/>
        <v>0</v>
      </c>
      <c r="AE505" s="286">
        <f t="shared" si="2354"/>
        <v>0</v>
      </c>
      <c r="AF505" s="286">
        <f t="shared" si="2354"/>
        <v>0</v>
      </c>
      <c r="AG505" s="286">
        <f t="shared" si="2354"/>
        <v>0</v>
      </c>
      <c r="AH505" s="286">
        <f t="shared" si="2354"/>
        <v>0</v>
      </c>
      <c r="AI505" s="286">
        <f t="shared" si="2354"/>
        <v>0</v>
      </c>
      <c r="AJ505" s="286">
        <f t="shared" si="2354"/>
        <v>0</v>
      </c>
      <c r="AK505" s="286">
        <f t="shared" si="2354"/>
        <v>0</v>
      </c>
      <c r="AL505" s="286">
        <f t="shared" si="2354"/>
        <v>0</v>
      </c>
      <c r="AM505" s="286">
        <f t="shared" si="2354"/>
        <v>0</v>
      </c>
      <c r="AN505" s="286">
        <f t="shared" si="2354"/>
        <v>0</v>
      </c>
      <c r="AO505" s="286">
        <f t="shared" si="2354"/>
        <v>0</v>
      </c>
      <c r="AP505" s="286">
        <f t="shared" si="2354"/>
        <v>0</v>
      </c>
      <c r="AQ505" s="286">
        <f t="shared" si="2354"/>
        <v>0</v>
      </c>
      <c r="AR505" s="286">
        <f t="shared" si="2354"/>
        <v>0</v>
      </c>
      <c r="AS505" s="286">
        <f t="shared" si="2354"/>
        <v>0</v>
      </c>
      <c r="AT505" s="286">
        <f t="shared" si="2354"/>
        <v>0</v>
      </c>
      <c r="AU505" s="286">
        <f t="shared" si="2354"/>
        <v>0</v>
      </c>
      <c r="AV505" s="286">
        <f t="shared" si="2354"/>
        <v>0</v>
      </c>
      <c r="AW505" s="286">
        <f t="shared" si="2354"/>
        <v>0</v>
      </c>
      <c r="AX505" s="286">
        <f t="shared" si="2354"/>
        <v>0</v>
      </c>
      <c r="AY505" s="286">
        <f t="shared" si="2354"/>
        <v>0</v>
      </c>
      <c r="AZ505" s="286">
        <f t="shared" si="2354"/>
        <v>0</v>
      </c>
      <c r="BA505" s="286">
        <f t="shared" si="2354"/>
        <v>0</v>
      </c>
      <c r="BB505" s="286">
        <f t="shared" si="2354"/>
        <v>0</v>
      </c>
      <c r="BC505" s="286">
        <f t="shared" si="2354"/>
        <v>0</v>
      </c>
      <c r="BD505" s="286">
        <f t="shared" si="2354"/>
        <v>3432</v>
      </c>
      <c r="BE505" s="286">
        <f t="shared" si="2354"/>
        <v>0</v>
      </c>
      <c r="BF505" s="286">
        <f t="shared" si="2354"/>
        <v>0</v>
      </c>
      <c r="BG505" s="286">
        <f t="shared" si="2354"/>
        <v>10135.1</v>
      </c>
      <c r="BH505" s="286">
        <f t="shared" si="2354"/>
        <v>0</v>
      </c>
      <c r="BI505" s="286">
        <f t="shared" si="2354"/>
        <v>0</v>
      </c>
      <c r="BJ505" s="286">
        <f t="shared" si="2354"/>
        <v>25413.360000000001</v>
      </c>
      <c r="BK505" s="286">
        <f t="shared" si="2354"/>
        <v>0</v>
      </c>
      <c r="BL505" s="286">
        <f t="shared" si="2354"/>
        <v>0</v>
      </c>
      <c r="BM505" s="286">
        <f t="shared" si="2354"/>
        <v>38980.46</v>
      </c>
      <c r="BN505" s="286">
        <f t="shared" si="2354"/>
        <v>0</v>
      </c>
      <c r="BO505" s="286">
        <f t="shared" si="2354"/>
        <v>0</v>
      </c>
      <c r="BP505" s="286">
        <f t="shared" si="2354"/>
        <v>0</v>
      </c>
      <c r="BQ505" s="286">
        <f t="shared" si="2354"/>
        <v>0</v>
      </c>
      <c r="BR505" s="286">
        <f t="shared" si="2354"/>
        <v>14343</v>
      </c>
      <c r="BS505" s="286">
        <f t="shared" si="2354"/>
        <v>14343</v>
      </c>
      <c r="BT505" s="286">
        <f t="shared" si="2354"/>
        <v>0</v>
      </c>
      <c r="BU505" s="286">
        <f t="shared" si="2354"/>
        <v>0</v>
      </c>
      <c r="BV505" s="286">
        <f t="shared" si="2354"/>
        <v>14343</v>
      </c>
      <c r="BW505" s="286">
        <f t="shared" si="2354"/>
        <v>14343</v>
      </c>
      <c r="BX505" s="1"/>
      <c r="BY505" s="1"/>
      <c r="BZ505" s="1"/>
      <c r="CA505" s="1"/>
      <c r="CB505" s="1"/>
      <c r="CC505" s="1"/>
      <c r="CD505" s="1"/>
      <c r="CE505" s="1"/>
      <c r="CF505" s="1"/>
      <c r="CG505" s="1"/>
    </row>
    <row r="506" spans="1:85" ht="15.75">
      <c r="A506" s="341"/>
      <c r="B506" s="342"/>
      <c r="C506" s="343"/>
      <c r="D506" s="209" t="s">
        <v>251</v>
      </c>
      <c r="E506" s="383">
        <f t="shared" ref="E506:H506" si="2355">SUM(E507)</f>
        <v>0</v>
      </c>
      <c r="F506" s="384">
        <f t="shared" si="2355"/>
        <v>0</v>
      </c>
      <c r="G506" s="384">
        <f t="shared" si="2355"/>
        <v>0</v>
      </c>
      <c r="H506" s="384">
        <f t="shared" si="2355"/>
        <v>0</v>
      </c>
      <c r="I506" s="385">
        <f t="shared" si="1737"/>
        <v>0</v>
      </c>
      <c r="J506" s="385">
        <f t="shared" si="1738"/>
        <v>0</v>
      </c>
      <c r="K506" s="384">
        <f t="shared" ref="K506:W506" si="2356">SUM(K507)</f>
        <v>0</v>
      </c>
      <c r="L506" s="384">
        <f t="shared" si="2356"/>
        <v>0</v>
      </c>
      <c r="M506" s="384">
        <f t="shared" si="2356"/>
        <v>0</v>
      </c>
      <c r="N506" s="384">
        <f t="shared" si="2356"/>
        <v>10135.1</v>
      </c>
      <c r="O506" s="384">
        <f t="shared" si="2356"/>
        <v>0</v>
      </c>
      <c r="P506" s="384">
        <f t="shared" si="2356"/>
        <v>0</v>
      </c>
      <c r="Q506" s="384">
        <f t="shared" si="2356"/>
        <v>10135.1</v>
      </c>
      <c r="R506" s="384">
        <f t="shared" si="2356"/>
        <v>0</v>
      </c>
      <c r="S506" s="384">
        <f t="shared" si="2356"/>
        <v>0</v>
      </c>
      <c r="T506" s="384">
        <f t="shared" si="2356"/>
        <v>10135.1</v>
      </c>
      <c r="U506" s="384">
        <f t="shared" si="2356"/>
        <v>0</v>
      </c>
      <c r="V506" s="384">
        <f t="shared" si="2356"/>
        <v>0</v>
      </c>
      <c r="W506" s="384">
        <f t="shared" si="2356"/>
        <v>0</v>
      </c>
      <c r="X506" s="386">
        <f t="shared" ref="X506:Y506" si="2357">IF(O506&gt;0,O506/K506,0)</f>
        <v>0</v>
      </c>
      <c r="Y506" s="386">
        <f t="shared" si="2357"/>
        <v>0</v>
      </c>
      <c r="Z506" s="386">
        <f t="shared" si="1518"/>
        <v>1</v>
      </c>
      <c r="AA506" s="384">
        <f t="shared" ref="AA506:BW506" si="2358">SUM(AA507)</f>
        <v>0</v>
      </c>
      <c r="AB506" s="384">
        <f t="shared" si="2358"/>
        <v>0</v>
      </c>
      <c r="AC506" s="384">
        <f t="shared" si="2358"/>
        <v>0</v>
      </c>
      <c r="AD506" s="384">
        <f t="shared" si="2358"/>
        <v>0</v>
      </c>
      <c r="AE506" s="384">
        <f t="shared" si="2358"/>
        <v>0</v>
      </c>
      <c r="AF506" s="384">
        <f t="shared" si="2358"/>
        <v>0</v>
      </c>
      <c r="AG506" s="384">
        <f t="shared" si="2358"/>
        <v>0</v>
      </c>
      <c r="AH506" s="384">
        <f t="shared" si="2358"/>
        <v>0</v>
      </c>
      <c r="AI506" s="384">
        <f t="shared" si="2358"/>
        <v>0</v>
      </c>
      <c r="AJ506" s="384">
        <f t="shared" si="2358"/>
        <v>0</v>
      </c>
      <c r="AK506" s="384">
        <f t="shared" si="2358"/>
        <v>0</v>
      </c>
      <c r="AL506" s="384">
        <f t="shared" si="2358"/>
        <v>0</v>
      </c>
      <c r="AM506" s="384">
        <f t="shared" si="2358"/>
        <v>0</v>
      </c>
      <c r="AN506" s="384">
        <f t="shared" si="2358"/>
        <v>0</v>
      </c>
      <c r="AO506" s="384">
        <f t="shared" si="2358"/>
        <v>0</v>
      </c>
      <c r="AP506" s="384">
        <f t="shared" si="2358"/>
        <v>0</v>
      </c>
      <c r="AQ506" s="384">
        <f t="shared" si="2358"/>
        <v>0</v>
      </c>
      <c r="AR506" s="384">
        <f t="shared" si="2358"/>
        <v>0</v>
      </c>
      <c r="AS506" s="384">
        <f t="shared" si="2358"/>
        <v>0</v>
      </c>
      <c r="AT506" s="384">
        <f t="shared" si="2358"/>
        <v>0</v>
      </c>
      <c r="AU506" s="384">
        <f t="shared" si="2358"/>
        <v>0</v>
      </c>
      <c r="AV506" s="384">
        <f t="shared" si="2358"/>
        <v>0</v>
      </c>
      <c r="AW506" s="384">
        <f t="shared" si="2358"/>
        <v>0</v>
      </c>
      <c r="AX506" s="384">
        <f t="shared" si="2358"/>
        <v>0</v>
      </c>
      <c r="AY506" s="384">
        <f t="shared" si="2358"/>
        <v>0</v>
      </c>
      <c r="AZ506" s="384">
        <f t="shared" si="2358"/>
        <v>0</v>
      </c>
      <c r="BA506" s="384">
        <f t="shared" si="2358"/>
        <v>0</v>
      </c>
      <c r="BB506" s="384">
        <f t="shared" si="2358"/>
        <v>0</v>
      </c>
      <c r="BC506" s="384">
        <f t="shared" si="2358"/>
        <v>0</v>
      </c>
      <c r="BD506" s="384">
        <f t="shared" si="2358"/>
        <v>0</v>
      </c>
      <c r="BE506" s="384">
        <f t="shared" si="2358"/>
        <v>0</v>
      </c>
      <c r="BF506" s="384">
        <f t="shared" si="2358"/>
        <v>0</v>
      </c>
      <c r="BG506" s="384">
        <f t="shared" si="2358"/>
        <v>10135.1</v>
      </c>
      <c r="BH506" s="384">
        <f t="shared" si="2358"/>
        <v>0</v>
      </c>
      <c r="BI506" s="384">
        <f t="shared" si="2358"/>
        <v>0</v>
      </c>
      <c r="BJ506" s="384">
        <f t="shared" si="2358"/>
        <v>0</v>
      </c>
      <c r="BK506" s="384">
        <f t="shared" si="2358"/>
        <v>0</v>
      </c>
      <c r="BL506" s="384">
        <f t="shared" si="2358"/>
        <v>0</v>
      </c>
      <c r="BM506" s="384">
        <f t="shared" si="2358"/>
        <v>10135.1</v>
      </c>
      <c r="BN506" s="384">
        <f t="shared" si="2358"/>
        <v>0</v>
      </c>
      <c r="BO506" s="384">
        <f t="shared" si="2358"/>
        <v>0</v>
      </c>
      <c r="BP506" s="384">
        <f t="shared" si="2358"/>
        <v>0</v>
      </c>
      <c r="BQ506" s="384">
        <f t="shared" si="2358"/>
        <v>0</v>
      </c>
      <c r="BR506" s="384">
        <f t="shared" si="2358"/>
        <v>0</v>
      </c>
      <c r="BS506" s="384">
        <f t="shared" si="2358"/>
        <v>0</v>
      </c>
      <c r="BT506" s="384">
        <f t="shared" si="2358"/>
        <v>0</v>
      </c>
      <c r="BU506" s="384">
        <f t="shared" si="2358"/>
        <v>0</v>
      </c>
      <c r="BV506" s="384">
        <f t="shared" si="2358"/>
        <v>0</v>
      </c>
      <c r="BW506" s="384">
        <f t="shared" si="2358"/>
        <v>0</v>
      </c>
      <c r="BX506" s="1"/>
      <c r="BY506" s="1"/>
      <c r="BZ506" s="1"/>
      <c r="CA506" s="1"/>
      <c r="CB506" s="1"/>
      <c r="CC506" s="1"/>
      <c r="CD506" s="1"/>
      <c r="CE506" s="1"/>
      <c r="CF506" s="1"/>
      <c r="CG506" s="1"/>
    </row>
    <row r="507" spans="1:85" ht="15.75" customHeight="1">
      <c r="A507" s="125" t="s">
        <v>816</v>
      </c>
      <c r="B507" s="115"/>
      <c r="C507" s="86" t="s">
        <v>625</v>
      </c>
      <c r="D507" s="126" t="s">
        <v>817</v>
      </c>
      <c r="E507" s="70"/>
      <c r="F507" s="71"/>
      <c r="G507" s="71">
        <f>E507-F507</f>
        <v>0</v>
      </c>
      <c r="H507" s="70"/>
      <c r="I507" s="72">
        <f t="shared" si="1737"/>
        <v>0</v>
      </c>
      <c r="J507" s="72">
        <f t="shared" si="1738"/>
        <v>0</v>
      </c>
      <c r="K507" s="88"/>
      <c r="L507" s="81"/>
      <c r="M507" s="81"/>
      <c r="N507" s="73">
        <f>10474-338.9</f>
        <v>10135.1</v>
      </c>
      <c r="O507" s="77">
        <f t="shared" ref="O507:Q507" si="2359">AA507+AD507+AG507+AJ507+AM507+AP507+AS507+AV507+AY507+BB507+BE507+BH507</f>
        <v>0</v>
      </c>
      <c r="P507" s="77">
        <f t="shared" si="2359"/>
        <v>0</v>
      </c>
      <c r="Q507" s="77">
        <f t="shared" si="2359"/>
        <v>10135.1</v>
      </c>
      <c r="R507" s="77">
        <f t="shared" ref="R507:T507" si="2360">IF(BK507=0,SUM(AA507+AD507+AG507+AJ507+AM507+AP507+AS507+AV507+AY507+BB507+BE507+BH507),BK507)</f>
        <v>0</v>
      </c>
      <c r="S507" s="77">
        <f t="shared" si="2360"/>
        <v>0</v>
      </c>
      <c r="T507" s="77">
        <f t="shared" si="2360"/>
        <v>10135.1</v>
      </c>
      <c r="U507" s="78">
        <f>K507-O507</f>
        <v>0</v>
      </c>
      <c r="V507" s="79">
        <f>L507-M507-S507</f>
        <v>0</v>
      </c>
      <c r="W507" s="78">
        <f>N507-Q507</f>
        <v>0</v>
      </c>
      <c r="X507" s="80">
        <f t="shared" ref="X507:Y507" si="2361">IF(O507&gt;0,O507/K507,0)</f>
        <v>0</v>
      </c>
      <c r="Y507" s="80">
        <f t="shared" si="2361"/>
        <v>0</v>
      </c>
      <c r="Z507" s="80">
        <f t="shared" si="1518"/>
        <v>1</v>
      </c>
      <c r="AA507" s="81"/>
      <c r="AB507" s="81"/>
      <c r="AC507" s="81"/>
      <c r="AD507" s="81"/>
      <c r="AE507" s="83"/>
      <c r="AF507" s="83"/>
      <c r="AG507" s="83"/>
      <c r="AH507" s="83"/>
      <c r="AI507" s="81"/>
      <c r="AJ507" s="81"/>
      <c r="AK507" s="81"/>
      <c r="AL507" s="81"/>
      <c r="AM507" s="81"/>
      <c r="AN507" s="81"/>
      <c r="AO507" s="81"/>
      <c r="AP507" s="81"/>
      <c r="AQ507" s="81"/>
      <c r="AR507" s="81"/>
      <c r="AS507" s="81"/>
      <c r="AT507" s="81"/>
      <c r="AU507" s="81"/>
      <c r="AV507" s="81"/>
      <c r="AW507" s="81"/>
      <c r="AX507" s="81"/>
      <c r="AY507" s="81"/>
      <c r="AZ507" s="81"/>
      <c r="BA507" s="81"/>
      <c r="BB507" s="81"/>
      <c r="BC507" s="81"/>
      <c r="BD507" s="81"/>
      <c r="BE507" s="81"/>
      <c r="BF507" s="81"/>
      <c r="BG507" s="82">
        <f>2953.5+1541.6+5640</f>
        <v>10135.1</v>
      </c>
      <c r="BH507" s="81"/>
      <c r="BI507" s="81"/>
      <c r="BJ507" s="81"/>
      <c r="BK507" s="82">
        <v>0</v>
      </c>
      <c r="BL507" s="82">
        <v>0</v>
      </c>
      <c r="BM507" s="82">
        <v>10135.1</v>
      </c>
      <c r="BN507" s="81">
        <f>IF(O507-BK507&gt;0,O507-BK507,0)</f>
        <v>0</v>
      </c>
      <c r="BO507" s="75">
        <f>IF(Q507-BM507&gt;0,Q507-BM507,0)</f>
        <v>0</v>
      </c>
      <c r="BP507" s="81">
        <f>IF(BN507+BO507&gt;0,BN507+BO507,0)</f>
        <v>0</v>
      </c>
      <c r="BQ507" s="81">
        <f>IF(U507=0,0,U507)</f>
        <v>0</v>
      </c>
      <c r="BR507" s="81">
        <f>IF(W507=0,0,W507)</f>
        <v>0</v>
      </c>
      <c r="BS507" s="81">
        <f>IF(BQ507+BR507&gt;0,BQ507+BR507,0)</f>
        <v>0</v>
      </c>
      <c r="BT507" s="81">
        <f>IF(V507&gt;0,V507,0)</f>
        <v>0</v>
      </c>
      <c r="BU507" s="81">
        <f>IF(BP507=0,0,BP507)</f>
        <v>0</v>
      </c>
      <c r="BV507" s="81">
        <f>IF(BS507=0,0,BS507)</f>
        <v>0</v>
      </c>
      <c r="BW507" s="81">
        <f>IF(BP507+BT507+BV507&gt;0,BP507+BT507+BV507,0)</f>
        <v>0</v>
      </c>
      <c r="BX507" s="1"/>
      <c r="BY507" s="1"/>
      <c r="BZ507" s="1"/>
      <c r="CA507" s="1"/>
      <c r="CB507" s="1"/>
      <c r="CC507" s="1"/>
      <c r="CD507" s="1"/>
      <c r="CE507" s="1"/>
      <c r="CF507" s="1"/>
      <c r="CG507" s="1"/>
    </row>
    <row r="508" spans="1:85" ht="15.75">
      <c r="A508" s="341"/>
      <c r="B508" s="342"/>
      <c r="C508" s="343"/>
      <c r="D508" s="209" t="s">
        <v>365</v>
      </c>
      <c r="E508" s="383">
        <f t="shared" ref="E508:H508" si="2362">SUM(E509+E510)</f>
        <v>0</v>
      </c>
      <c r="F508" s="383">
        <f t="shared" si="2362"/>
        <v>0</v>
      </c>
      <c r="G508" s="383">
        <f t="shared" si="2362"/>
        <v>0</v>
      </c>
      <c r="H508" s="383">
        <f t="shared" si="2362"/>
        <v>0</v>
      </c>
      <c r="I508" s="385">
        <f t="shared" si="1737"/>
        <v>0</v>
      </c>
      <c r="J508" s="385">
        <f t="shared" si="1738"/>
        <v>0</v>
      </c>
      <c r="K508" s="383">
        <f t="shared" ref="K508:W508" si="2363">SUM(K509+K510)</f>
        <v>0</v>
      </c>
      <c r="L508" s="383">
        <f t="shared" si="2363"/>
        <v>0</v>
      </c>
      <c r="M508" s="383">
        <f t="shared" si="2363"/>
        <v>0</v>
      </c>
      <c r="N508" s="383">
        <f t="shared" si="2363"/>
        <v>43188.36</v>
      </c>
      <c r="O508" s="383">
        <f t="shared" si="2363"/>
        <v>0</v>
      </c>
      <c r="P508" s="383">
        <f t="shared" si="2363"/>
        <v>0</v>
      </c>
      <c r="Q508" s="383">
        <f t="shared" si="2363"/>
        <v>28845.360000000001</v>
      </c>
      <c r="R508" s="383">
        <f t="shared" si="2363"/>
        <v>0</v>
      </c>
      <c r="S508" s="383">
        <f t="shared" si="2363"/>
        <v>0</v>
      </c>
      <c r="T508" s="383">
        <f t="shared" si="2363"/>
        <v>28845.360000000001</v>
      </c>
      <c r="U508" s="383">
        <f t="shared" si="2363"/>
        <v>0</v>
      </c>
      <c r="V508" s="383">
        <f t="shared" si="2363"/>
        <v>0</v>
      </c>
      <c r="W508" s="383">
        <f t="shared" si="2363"/>
        <v>14343</v>
      </c>
      <c r="X508" s="386">
        <f t="shared" ref="X508:Y508" si="2364">IF(O508&gt;0,O508/K508,0)</f>
        <v>0</v>
      </c>
      <c r="Y508" s="386">
        <f t="shared" si="2364"/>
        <v>0</v>
      </c>
      <c r="Z508" s="386">
        <f t="shared" si="1518"/>
        <v>0.66789662770246427</v>
      </c>
      <c r="AA508" s="383">
        <f t="shared" ref="AA508:BW508" si="2365">SUM(AA509+AA510)</f>
        <v>0</v>
      </c>
      <c r="AB508" s="383">
        <f t="shared" si="2365"/>
        <v>0</v>
      </c>
      <c r="AC508" s="383">
        <f t="shared" si="2365"/>
        <v>0</v>
      </c>
      <c r="AD508" s="383">
        <f t="shared" si="2365"/>
        <v>0</v>
      </c>
      <c r="AE508" s="383">
        <f t="shared" si="2365"/>
        <v>0</v>
      </c>
      <c r="AF508" s="383">
        <f t="shared" si="2365"/>
        <v>0</v>
      </c>
      <c r="AG508" s="383">
        <f t="shared" si="2365"/>
        <v>0</v>
      </c>
      <c r="AH508" s="383">
        <f t="shared" si="2365"/>
        <v>0</v>
      </c>
      <c r="AI508" s="383">
        <f t="shared" si="2365"/>
        <v>0</v>
      </c>
      <c r="AJ508" s="383">
        <f t="shared" si="2365"/>
        <v>0</v>
      </c>
      <c r="AK508" s="383">
        <f t="shared" si="2365"/>
        <v>0</v>
      </c>
      <c r="AL508" s="383">
        <f t="shared" si="2365"/>
        <v>0</v>
      </c>
      <c r="AM508" s="383">
        <f t="shared" si="2365"/>
        <v>0</v>
      </c>
      <c r="AN508" s="383">
        <f t="shared" si="2365"/>
        <v>0</v>
      </c>
      <c r="AO508" s="383">
        <f t="shared" si="2365"/>
        <v>0</v>
      </c>
      <c r="AP508" s="383">
        <f t="shared" si="2365"/>
        <v>0</v>
      </c>
      <c r="AQ508" s="383">
        <f t="shared" si="2365"/>
        <v>0</v>
      </c>
      <c r="AR508" s="383">
        <f t="shared" si="2365"/>
        <v>0</v>
      </c>
      <c r="AS508" s="383">
        <f t="shared" si="2365"/>
        <v>0</v>
      </c>
      <c r="AT508" s="383">
        <f t="shared" si="2365"/>
        <v>0</v>
      </c>
      <c r="AU508" s="383">
        <f t="shared" si="2365"/>
        <v>0</v>
      </c>
      <c r="AV508" s="383">
        <f t="shared" si="2365"/>
        <v>0</v>
      </c>
      <c r="AW508" s="383">
        <f t="shared" si="2365"/>
        <v>0</v>
      </c>
      <c r="AX508" s="383">
        <f t="shared" si="2365"/>
        <v>0</v>
      </c>
      <c r="AY508" s="383">
        <f t="shared" si="2365"/>
        <v>0</v>
      </c>
      <c r="AZ508" s="383">
        <f t="shared" si="2365"/>
        <v>0</v>
      </c>
      <c r="BA508" s="383">
        <f t="shared" si="2365"/>
        <v>0</v>
      </c>
      <c r="BB508" s="383">
        <f t="shared" si="2365"/>
        <v>0</v>
      </c>
      <c r="BC508" s="383">
        <f t="shared" si="2365"/>
        <v>0</v>
      </c>
      <c r="BD508" s="383">
        <f t="shared" si="2365"/>
        <v>3432</v>
      </c>
      <c r="BE508" s="383">
        <f t="shared" si="2365"/>
        <v>0</v>
      </c>
      <c r="BF508" s="383">
        <f t="shared" si="2365"/>
        <v>0</v>
      </c>
      <c r="BG508" s="383">
        <f t="shared" si="2365"/>
        <v>0</v>
      </c>
      <c r="BH508" s="383">
        <f t="shared" si="2365"/>
        <v>0</v>
      </c>
      <c r="BI508" s="383">
        <f t="shared" si="2365"/>
        <v>0</v>
      </c>
      <c r="BJ508" s="383">
        <f t="shared" si="2365"/>
        <v>25413.360000000001</v>
      </c>
      <c r="BK508" s="383">
        <f t="shared" si="2365"/>
        <v>0</v>
      </c>
      <c r="BL508" s="383">
        <f t="shared" si="2365"/>
        <v>0</v>
      </c>
      <c r="BM508" s="383">
        <f t="shared" si="2365"/>
        <v>28845.360000000001</v>
      </c>
      <c r="BN508" s="383">
        <f t="shared" si="2365"/>
        <v>0</v>
      </c>
      <c r="BO508" s="383">
        <f t="shared" si="2365"/>
        <v>0</v>
      </c>
      <c r="BP508" s="383">
        <f t="shared" si="2365"/>
        <v>0</v>
      </c>
      <c r="BQ508" s="383">
        <f t="shared" si="2365"/>
        <v>0</v>
      </c>
      <c r="BR508" s="383">
        <f t="shared" si="2365"/>
        <v>14343</v>
      </c>
      <c r="BS508" s="383">
        <f t="shared" si="2365"/>
        <v>14343</v>
      </c>
      <c r="BT508" s="383">
        <f t="shared" si="2365"/>
        <v>0</v>
      </c>
      <c r="BU508" s="383">
        <f t="shared" si="2365"/>
        <v>0</v>
      </c>
      <c r="BV508" s="383">
        <f t="shared" si="2365"/>
        <v>14343</v>
      </c>
      <c r="BW508" s="383">
        <f t="shared" si="2365"/>
        <v>14343</v>
      </c>
      <c r="BX508" s="1"/>
      <c r="BY508" s="1"/>
      <c r="BZ508" s="1"/>
      <c r="CA508" s="1"/>
      <c r="CB508" s="1"/>
      <c r="CC508" s="1"/>
      <c r="CD508" s="1"/>
      <c r="CE508" s="1"/>
      <c r="CF508" s="1"/>
      <c r="CG508" s="1"/>
    </row>
    <row r="509" spans="1:85" ht="15.75" customHeight="1">
      <c r="A509" s="297" t="s">
        <v>818</v>
      </c>
      <c r="B509" s="321"/>
      <c r="C509" s="129" t="s">
        <v>807</v>
      </c>
      <c r="D509" s="126" t="s">
        <v>819</v>
      </c>
      <c r="E509" s="196"/>
      <c r="F509" s="322"/>
      <c r="G509" s="71">
        <f t="shared" ref="G509:G510" si="2366">E509-F509</f>
        <v>0</v>
      </c>
      <c r="H509" s="70"/>
      <c r="I509" s="72">
        <f t="shared" si="1737"/>
        <v>0</v>
      </c>
      <c r="J509" s="72">
        <f t="shared" si="1738"/>
        <v>0</v>
      </c>
      <c r="K509" s="237"/>
      <c r="L509" s="83"/>
      <c r="M509" s="83"/>
      <c r="N509" s="189">
        <f>27000-9225</f>
        <v>17775</v>
      </c>
      <c r="O509" s="77">
        <f t="shared" ref="O509:Q509" si="2367">AA509+AD509+AG509+AJ509+AM509+AP509+AS509+AV509+AY509+BB509+BE509+BH509</f>
        <v>0</v>
      </c>
      <c r="P509" s="77">
        <f t="shared" si="2367"/>
        <v>0</v>
      </c>
      <c r="Q509" s="77">
        <f t="shared" si="2367"/>
        <v>3432</v>
      </c>
      <c r="R509" s="77">
        <f t="shared" ref="R509:T509" si="2368">IF(BK509=0,SUM(AA509+AD509+AG509+AJ509+AM509+AP509+AS509+AV509+AY509+BB509+BE509+BH509),BK509)</f>
        <v>0</v>
      </c>
      <c r="S509" s="77">
        <f t="shared" si="2368"/>
        <v>0</v>
      </c>
      <c r="T509" s="77">
        <f t="shared" si="2368"/>
        <v>3432</v>
      </c>
      <c r="U509" s="78">
        <f t="shared" ref="U509:U510" si="2369">K509-O509</f>
        <v>0</v>
      </c>
      <c r="V509" s="79">
        <f t="shared" ref="V509:V510" si="2370">L509-M509-S509</f>
        <v>0</v>
      </c>
      <c r="W509" s="79">
        <f t="shared" ref="W509:W510" si="2371">N509-Q509</f>
        <v>14343</v>
      </c>
      <c r="X509" s="80">
        <f t="shared" ref="X509:Y509" si="2372">IF(O509&gt;0,O509/K509,0)</f>
        <v>0</v>
      </c>
      <c r="Y509" s="80">
        <f t="shared" si="2372"/>
        <v>0</v>
      </c>
      <c r="Z509" s="80">
        <f t="shared" si="1518"/>
        <v>0.1930801687763713</v>
      </c>
      <c r="AA509" s="81"/>
      <c r="AB509" s="81"/>
      <c r="AC509" s="81"/>
      <c r="AD509" s="81"/>
      <c r="AE509" s="83"/>
      <c r="AF509" s="83"/>
      <c r="AG509" s="83"/>
      <c r="AH509" s="83"/>
      <c r="AI509" s="81"/>
      <c r="AJ509" s="81"/>
      <c r="AK509" s="81"/>
      <c r="AL509" s="81"/>
      <c r="AM509" s="81"/>
      <c r="AN509" s="81"/>
      <c r="AO509" s="81"/>
      <c r="AP509" s="81"/>
      <c r="AQ509" s="81"/>
      <c r="AR509" s="81"/>
      <c r="AS509" s="81"/>
      <c r="AT509" s="81"/>
      <c r="AU509" s="81"/>
      <c r="AV509" s="81"/>
      <c r="AW509" s="267"/>
      <c r="AX509" s="267"/>
      <c r="AY509" s="267"/>
      <c r="AZ509" s="267"/>
      <c r="BA509" s="267"/>
      <c r="BB509" s="267"/>
      <c r="BC509" s="267"/>
      <c r="BD509" s="387">
        <v>3432</v>
      </c>
      <c r="BE509" s="267"/>
      <c r="BF509" s="267"/>
      <c r="BG509" s="267"/>
      <c r="BH509" s="267"/>
      <c r="BI509" s="267"/>
      <c r="BJ509" s="267"/>
      <c r="BK509" s="82">
        <v>0</v>
      </c>
      <c r="BL509" s="82">
        <v>0</v>
      </c>
      <c r="BM509" s="82">
        <v>3432</v>
      </c>
      <c r="BN509" s="81">
        <f t="shared" ref="BN509:BN510" si="2373">IF(O509-BK509&gt;0,O509-BK509,0)</f>
        <v>0</v>
      </c>
      <c r="BO509" s="75">
        <f t="shared" ref="BO509:BO510" si="2374">IF(Q509-BM509&gt;0,Q509-BM509,0)</f>
        <v>0</v>
      </c>
      <c r="BP509" s="81">
        <f t="shared" ref="BP509:BP510" si="2375">IF(BN509+BO509&gt;0,BN509+BO509,0)</f>
        <v>0</v>
      </c>
      <c r="BQ509" s="81">
        <f t="shared" ref="BQ509:BQ510" si="2376">IF(U509=0,0,U509)</f>
        <v>0</v>
      </c>
      <c r="BR509" s="81">
        <f t="shared" ref="BR509:BR510" si="2377">IF(W509=0,0,W509)</f>
        <v>14343</v>
      </c>
      <c r="BS509" s="81">
        <f t="shared" ref="BS509:BS510" si="2378">IF(BQ509+BR509&gt;0,BQ509+BR509,0)</f>
        <v>14343</v>
      </c>
      <c r="BT509" s="81">
        <f t="shared" ref="BT509:BT510" si="2379">IF(V509&gt;0,V509,0)</f>
        <v>0</v>
      </c>
      <c r="BU509" s="81">
        <f t="shared" ref="BU509:BU510" si="2380">IF(BP509=0,0,BP509)</f>
        <v>0</v>
      </c>
      <c r="BV509" s="81">
        <f t="shared" ref="BV509:BV510" si="2381">IF(BS509=0,0,BS509)</f>
        <v>14343</v>
      </c>
      <c r="BW509" s="81">
        <f t="shared" ref="BW509:BW510" si="2382">IF(BP509+BT509+BV509&gt;0,BP509+BT509+BV509,0)</f>
        <v>14343</v>
      </c>
      <c r="BX509" s="1"/>
      <c r="BY509" s="1"/>
      <c r="BZ509" s="1"/>
      <c r="CA509" s="1"/>
      <c r="CB509" s="1"/>
      <c r="CC509" s="1"/>
      <c r="CD509" s="1"/>
      <c r="CE509" s="1"/>
      <c r="CF509" s="1"/>
      <c r="CG509" s="1"/>
    </row>
    <row r="510" spans="1:85" ht="15.75" customHeight="1">
      <c r="A510" s="297" t="s">
        <v>820</v>
      </c>
      <c r="B510" s="321"/>
      <c r="C510" s="129" t="s">
        <v>814</v>
      </c>
      <c r="D510" s="126" t="s">
        <v>821</v>
      </c>
      <c r="E510" s="70"/>
      <c r="F510" s="71"/>
      <c r="G510" s="71">
        <f t="shared" si="2366"/>
        <v>0</v>
      </c>
      <c r="H510" s="70"/>
      <c r="I510" s="72">
        <f t="shared" si="1737"/>
        <v>0</v>
      </c>
      <c r="J510" s="72">
        <f t="shared" si="1738"/>
        <v>0</v>
      </c>
      <c r="K510" s="237"/>
      <c r="L510" s="83"/>
      <c r="M510" s="83"/>
      <c r="N510" s="189">
        <f>25413.36</f>
        <v>25413.360000000001</v>
      </c>
      <c r="O510" s="77">
        <f t="shared" ref="O510:Q510" si="2383">AA510+AD510+AG510+AJ510+AM510+AP510+AS510+AV510+AY510+BB510+BE510+BH510</f>
        <v>0</v>
      </c>
      <c r="P510" s="77">
        <f t="shared" si="2383"/>
        <v>0</v>
      </c>
      <c r="Q510" s="77">
        <f t="shared" si="2383"/>
        <v>25413.360000000001</v>
      </c>
      <c r="R510" s="77">
        <f t="shared" ref="R510:T510" si="2384">IF(BK510=0,SUM(AA510+AD510+AG510+AJ510+AM510+AP510+AS510+AV510+AY510+BB510+BE510+BH510),BK510)</f>
        <v>0</v>
      </c>
      <c r="S510" s="77">
        <f t="shared" si="2384"/>
        <v>0</v>
      </c>
      <c r="T510" s="77">
        <f t="shared" si="2384"/>
        <v>25413.360000000001</v>
      </c>
      <c r="U510" s="79">
        <f t="shared" si="2369"/>
        <v>0</v>
      </c>
      <c r="V510" s="79">
        <f t="shared" si="2370"/>
        <v>0</v>
      </c>
      <c r="W510" s="78">
        <f t="shared" si="2371"/>
        <v>0</v>
      </c>
      <c r="X510" s="80">
        <f t="shared" ref="X510:Y510" si="2385">IF(O510&gt;0,O510/K510,0)</f>
        <v>0</v>
      </c>
      <c r="Y510" s="80">
        <f t="shared" si="2385"/>
        <v>0</v>
      </c>
      <c r="Z510" s="80">
        <f t="shared" si="1518"/>
        <v>1</v>
      </c>
      <c r="AA510" s="81"/>
      <c r="AB510" s="81"/>
      <c r="AC510" s="81"/>
      <c r="AD510" s="81"/>
      <c r="AE510" s="83"/>
      <c r="AF510" s="83"/>
      <c r="AG510" s="83"/>
      <c r="AH510" s="83"/>
      <c r="AI510" s="81"/>
      <c r="AJ510" s="81"/>
      <c r="AK510" s="81"/>
      <c r="AL510" s="81"/>
      <c r="AM510" s="81"/>
      <c r="AN510" s="81"/>
      <c r="AO510" s="81"/>
      <c r="AP510" s="81"/>
      <c r="AQ510" s="81"/>
      <c r="AR510" s="81"/>
      <c r="AS510" s="81"/>
      <c r="AT510" s="81"/>
      <c r="AU510" s="81"/>
      <c r="AV510" s="81"/>
      <c r="AW510" s="267"/>
      <c r="AX510" s="267"/>
      <c r="AY510" s="267"/>
      <c r="AZ510" s="267"/>
      <c r="BA510" s="267"/>
      <c r="BB510" s="267"/>
      <c r="BC510" s="267"/>
      <c r="BD510" s="267"/>
      <c r="BE510" s="267"/>
      <c r="BF510" s="267"/>
      <c r="BG510" s="267"/>
      <c r="BH510" s="267"/>
      <c r="BI510" s="267"/>
      <c r="BJ510" s="267">
        <f>25413.36</f>
        <v>25413.360000000001</v>
      </c>
      <c r="BK510" s="82">
        <v>0</v>
      </c>
      <c r="BL510" s="82">
        <v>0</v>
      </c>
      <c r="BM510" s="82">
        <v>25413.360000000001</v>
      </c>
      <c r="BN510" s="81">
        <f t="shared" si="2373"/>
        <v>0</v>
      </c>
      <c r="BO510" s="75">
        <f t="shared" si="2374"/>
        <v>0</v>
      </c>
      <c r="BP510" s="81">
        <f t="shared" si="2375"/>
        <v>0</v>
      </c>
      <c r="BQ510" s="81">
        <f t="shared" si="2376"/>
        <v>0</v>
      </c>
      <c r="BR510" s="81">
        <f t="shared" si="2377"/>
        <v>0</v>
      </c>
      <c r="BS510" s="81">
        <f t="shared" si="2378"/>
        <v>0</v>
      </c>
      <c r="BT510" s="81">
        <f t="shared" si="2379"/>
        <v>0</v>
      </c>
      <c r="BU510" s="81">
        <f t="shared" si="2380"/>
        <v>0</v>
      </c>
      <c r="BV510" s="81">
        <f t="shared" si="2381"/>
        <v>0</v>
      </c>
      <c r="BW510" s="81">
        <f t="shared" si="2382"/>
        <v>0</v>
      </c>
      <c r="BX510" s="1"/>
      <c r="BY510" s="1"/>
      <c r="BZ510" s="1"/>
      <c r="CA510" s="1"/>
      <c r="CB510" s="1"/>
      <c r="CC510" s="1"/>
      <c r="CD510" s="1"/>
      <c r="CE510" s="1"/>
      <c r="CF510" s="1"/>
      <c r="CG510" s="1"/>
    </row>
    <row r="511" spans="1:85" ht="15.75" customHeight="1">
      <c r="A511" s="307"/>
      <c r="B511" s="308"/>
      <c r="C511" s="388"/>
      <c r="D511" s="310"/>
      <c r="E511" s="221"/>
      <c r="F511" s="221"/>
      <c r="G511" s="221"/>
      <c r="H511" s="221"/>
      <c r="I511" s="222"/>
      <c r="J511" s="222"/>
      <c r="K511" s="223"/>
      <c r="L511" s="221"/>
      <c r="M511" s="221"/>
      <c r="N511" s="223"/>
      <c r="O511" s="221"/>
      <c r="P511" s="221"/>
      <c r="Q511" s="221"/>
      <c r="R511" s="221"/>
      <c r="S511" s="221"/>
      <c r="T511" s="221"/>
      <c r="U511" s="221"/>
      <c r="V511" s="221"/>
      <c r="W511" s="221"/>
      <c r="X511" s="224"/>
      <c r="Y511" s="224"/>
      <c r="Z511" s="224"/>
      <c r="AA511" s="221"/>
      <c r="AB511" s="221"/>
      <c r="AC511" s="221"/>
      <c r="AD511" s="221"/>
      <c r="AE511" s="221"/>
      <c r="AF511" s="221"/>
      <c r="AG511" s="221"/>
      <c r="AH511" s="221"/>
      <c r="AI511" s="221"/>
      <c r="AJ511" s="221"/>
      <c r="AK511" s="221"/>
      <c r="AL511" s="221"/>
      <c r="AM511" s="221"/>
      <c r="AN511" s="221"/>
      <c r="AO511" s="221"/>
      <c r="AP511" s="221"/>
      <c r="AQ511" s="221"/>
      <c r="AR511" s="221"/>
      <c r="AS511" s="221"/>
      <c r="AT511" s="221"/>
      <c r="AU511" s="221"/>
      <c r="AV511" s="221"/>
      <c r="AW511" s="221"/>
      <c r="AX511" s="221"/>
      <c r="AY511" s="221"/>
      <c r="AZ511" s="221"/>
      <c r="BA511" s="221"/>
      <c r="BB511" s="221"/>
      <c r="BC511" s="221"/>
      <c r="BD511" s="221"/>
      <c r="BE511" s="221"/>
      <c r="BF511" s="221"/>
      <c r="BG511" s="221"/>
      <c r="BH511" s="221"/>
      <c r="BI511" s="221"/>
      <c r="BJ511" s="221"/>
      <c r="BK511" s="221"/>
      <c r="BL511" s="221"/>
      <c r="BM511" s="221"/>
      <c r="BN511" s="221"/>
      <c r="BO511" s="221"/>
      <c r="BP511" s="221"/>
      <c r="BQ511" s="221"/>
      <c r="BR511" s="221"/>
      <c r="BS511" s="221"/>
      <c r="BT511" s="221"/>
      <c r="BU511" s="221"/>
      <c r="BV511" s="221"/>
      <c r="BW511" s="221"/>
      <c r="BX511" s="1"/>
      <c r="BY511" s="1"/>
      <c r="BZ511" s="1"/>
      <c r="CA511" s="1"/>
      <c r="CB511" s="1"/>
      <c r="CC511" s="1"/>
      <c r="CD511" s="1"/>
      <c r="CE511" s="1"/>
      <c r="CF511" s="1"/>
      <c r="CG511" s="1"/>
    </row>
    <row r="512" spans="1:85" ht="15.75" customHeight="1">
      <c r="A512" s="312"/>
      <c r="B512" s="313" t="s">
        <v>822</v>
      </c>
      <c r="C512" s="389"/>
      <c r="D512" s="315"/>
      <c r="E512" s="51">
        <f t="shared" ref="E512:H512" si="2386">E513+E539+E576+E661</f>
        <v>1358465.96</v>
      </c>
      <c r="F512" s="51">
        <f t="shared" si="2386"/>
        <v>135136.38199999998</v>
      </c>
      <c r="G512" s="51">
        <f t="shared" si="2386"/>
        <v>1223329.578</v>
      </c>
      <c r="H512" s="51">
        <f t="shared" si="2386"/>
        <v>570000</v>
      </c>
      <c r="I512" s="99">
        <f t="shared" ref="I512:I552" si="2387">IF(G512&gt;0,K512/G512,0)</f>
        <v>1.0102325589318826</v>
      </c>
      <c r="J512" s="99">
        <f t="shared" ref="J512:J552" si="2388">IF(G512&gt;0,O512/G512,0)</f>
        <v>0.91530213127896776</v>
      </c>
      <c r="K512" s="51">
        <f t="shared" ref="K512:W512" si="2389">K513+K539+K576+K661</f>
        <v>1235847.3700000001</v>
      </c>
      <c r="L512" s="51">
        <f t="shared" si="2389"/>
        <v>186328.27999999997</v>
      </c>
      <c r="M512" s="51">
        <f t="shared" si="2389"/>
        <v>2584.6400000000003</v>
      </c>
      <c r="N512" s="51">
        <f t="shared" si="2389"/>
        <v>808525.62</v>
      </c>
      <c r="O512" s="51">
        <f t="shared" si="2389"/>
        <v>1119716.1700000002</v>
      </c>
      <c r="P512" s="51">
        <f t="shared" si="2389"/>
        <v>167986.24</v>
      </c>
      <c r="Q512" s="51">
        <f t="shared" si="2389"/>
        <v>404716.52</v>
      </c>
      <c r="R512" s="51">
        <f t="shared" si="2389"/>
        <v>1114501.8500000001</v>
      </c>
      <c r="S512" s="51">
        <f t="shared" si="2389"/>
        <v>167986.24</v>
      </c>
      <c r="T512" s="51">
        <f t="shared" si="2389"/>
        <v>383363.04000010004</v>
      </c>
      <c r="U512" s="51">
        <f t="shared" si="2389"/>
        <v>116131.19999999998</v>
      </c>
      <c r="V512" s="51">
        <f t="shared" si="2389"/>
        <v>15757.4</v>
      </c>
      <c r="W512" s="51">
        <f t="shared" si="2389"/>
        <v>403809.10000000003</v>
      </c>
      <c r="X512" s="53">
        <f t="shared" ref="X512:Y512" si="2390">IF(O512&gt;0,O512/K512,0)</f>
        <v>0.90603111450566909</v>
      </c>
      <c r="Y512" s="53">
        <f t="shared" si="2390"/>
        <v>0.90156062193028352</v>
      </c>
      <c r="Z512" s="53">
        <f t="shared" ref="Z512:Z705" si="2391">IF(Q512&gt;0,Q512/N512,0)</f>
        <v>0.50056115723333539</v>
      </c>
      <c r="AA512" s="51">
        <f t="shared" ref="AA512:BW512" si="2392">AA513+AA539+AA576+AA661</f>
        <v>3800</v>
      </c>
      <c r="AB512" s="51">
        <f t="shared" si="2392"/>
        <v>96787.5</v>
      </c>
      <c r="AC512" s="51">
        <f t="shared" si="2392"/>
        <v>0</v>
      </c>
      <c r="AD512" s="51">
        <f t="shared" si="2392"/>
        <v>15079.15</v>
      </c>
      <c r="AE512" s="51">
        <f t="shared" si="2392"/>
        <v>10703.24</v>
      </c>
      <c r="AF512" s="51">
        <f t="shared" si="2392"/>
        <v>0</v>
      </c>
      <c r="AG512" s="51">
        <f t="shared" si="2392"/>
        <v>130712.53</v>
      </c>
      <c r="AH512" s="51">
        <f t="shared" si="2392"/>
        <v>39224</v>
      </c>
      <c r="AI512" s="51">
        <f t="shared" si="2392"/>
        <v>0</v>
      </c>
      <c r="AJ512" s="51">
        <f t="shared" si="2392"/>
        <v>59274.000000000007</v>
      </c>
      <c r="AK512" s="51">
        <f t="shared" si="2392"/>
        <v>0</v>
      </c>
      <c r="AL512" s="51">
        <f t="shared" si="2392"/>
        <v>0</v>
      </c>
      <c r="AM512" s="51">
        <f t="shared" si="2392"/>
        <v>104539.85</v>
      </c>
      <c r="AN512" s="51">
        <f t="shared" si="2392"/>
        <v>115</v>
      </c>
      <c r="AO512" s="51">
        <f t="shared" si="2392"/>
        <v>0</v>
      </c>
      <c r="AP512" s="51">
        <f t="shared" si="2392"/>
        <v>144466.42000000001</v>
      </c>
      <c r="AQ512" s="51">
        <f t="shared" si="2392"/>
        <v>1431.5</v>
      </c>
      <c r="AR512" s="51">
        <f t="shared" si="2392"/>
        <v>0</v>
      </c>
      <c r="AS512" s="51">
        <f t="shared" si="2392"/>
        <v>109142.06</v>
      </c>
      <c r="AT512" s="51">
        <f t="shared" si="2392"/>
        <v>14952.5</v>
      </c>
      <c r="AU512" s="51">
        <f t="shared" si="2392"/>
        <v>0</v>
      </c>
      <c r="AV512" s="51">
        <f t="shared" si="2392"/>
        <v>158910.17000000001</v>
      </c>
      <c r="AW512" s="51">
        <f t="shared" si="2392"/>
        <v>4772.5</v>
      </c>
      <c r="AX512" s="51">
        <f t="shared" si="2392"/>
        <v>0</v>
      </c>
      <c r="AY512" s="51">
        <f t="shared" si="2392"/>
        <v>92429.119999999995</v>
      </c>
      <c r="AZ512" s="51">
        <f t="shared" si="2392"/>
        <v>0</v>
      </c>
      <c r="BA512" s="51">
        <f t="shared" si="2392"/>
        <v>0</v>
      </c>
      <c r="BB512" s="51">
        <f t="shared" si="2392"/>
        <v>125169.07999999999</v>
      </c>
      <c r="BC512" s="51">
        <f t="shared" si="2392"/>
        <v>0</v>
      </c>
      <c r="BD512" s="51">
        <f t="shared" si="2392"/>
        <v>7350</v>
      </c>
      <c r="BE512" s="51">
        <f t="shared" si="2392"/>
        <v>93935.109999999986</v>
      </c>
      <c r="BF512" s="51">
        <f t="shared" si="2392"/>
        <v>0</v>
      </c>
      <c r="BG512" s="51">
        <f t="shared" si="2392"/>
        <v>264976.40000000002</v>
      </c>
      <c r="BH512" s="51">
        <f t="shared" si="2392"/>
        <v>82258.679999999993</v>
      </c>
      <c r="BI512" s="51">
        <f t="shared" si="2392"/>
        <v>0</v>
      </c>
      <c r="BJ512" s="51">
        <f t="shared" si="2392"/>
        <v>132390.12</v>
      </c>
      <c r="BK512" s="51">
        <f t="shared" si="2392"/>
        <v>1114501.8500000001</v>
      </c>
      <c r="BL512" s="51">
        <f t="shared" si="2392"/>
        <v>167986.24</v>
      </c>
      <c r="BM512" s="51">
        <f t="shared" si="2392"/>
        <v>383363.04000010004</v>
      </c>
      <c r="BN512" s="51">
        <f t="shared" si="2392"/>
        <v>5214.3200000000215</v>
      </c>
      <c r="BO512" s="51">
        <f t="shared" si="2392"/>
        <v>21353.479999899995</v>
      </c>
      <c r="BP512" s="51">
        <f t="shared" si="2392"/>
        <v>26567.799999900017</v>
      </c>
      <c r="BQ512" s="51">
        <f t="shared" si="2392"/>
        <v>116131.19999999998</v>
      </c>
      <c r="BR512" s="51">
        <f t="shared" si="2392"/>
        <v>403809.10000000003</v>
      </c>
      <c r="BS512" s="51">
        <f t="shared" si="2392"/>
        <v>519940.30000000005</v>
      </c>
      <c r="BT512" s="51">
        <f t="shared" si="2392"/>
        <v>15757.4</v>
      </c>
      <c r="BU512" s="51">
        <f t="shared" si="2392"/>
        <v>26567.799999900017</v>
      </c>
      <c r="BV512" s="51">
        <f t="shared" si="2392"/>
        <v>519940.30000000005</v>
      </c>
      <c r="BW512" s="51">
        <f t="shared" si="2392"/>
        <v>562265.4999999</v>
      </c>
      <c r="BX512" s="1"/>
      <c r="BY512" s="1"/>
      <c r="BZ512" s="1"/>
      <c r="CA512" s="1"/>
      <c r="CB512" s="1"/>
      <c r="CC512" s="1"/>
      <c r="CD512" s="1"/>
      <c r="CE512" s="1"/>
      <c r="CF512" s="1"/>
      <c r="CG512" s="1"/>
    </row>
    <row r="513" spans="1:85" ht="15.75" customHeight="1">
      <c r="A513" s="325"/>
      <c r="B513" s="248"/>
      <c r="C513" s="249"/>
      <c r="D513" s="250" t="s">
        <v>823</v>
      </c>
      <c r="E513" s="104">
        <f t="shared" ref="E513:H513" si="2393">E514+E526</f>
        <v>150932.97999999998</v>
      </c>
      <c r="F513" s="371">
        <f t="shared" si="2393"/>
        <v>7568.1919999999955</v>
      </c>
      <c r="G513" s="371">
        <f t="shared" si="2393"/>
        <v>143364.788</v>
      </c>
      <c r="H513" s="251">
        <f t="shared" si="2393"/>
        <v>0</v>
      </c>
      <c r="I513" s="105">
        <f t="shared" si="2387"/>
        <v>0.26800758077359949</v>
      </c>
      <c r="J513" s="105">
        <f t="shared" si="2388"/>
        <v>0.26800758077359971</v>
      </c>
      <c r="K513" s="251">
        <f t="shared" ref="K513:Q513" si="2394">K514+K526</f>
        <v>38422.849999999969</v>
      </c>
      <c r="L513" s="371">
        <f t="shared" si="2394"/>
        <v>0</v>
      </c>
      <c r="M513" s="371">
        <f t="shared" si="2394"/>
        <v>0</v>
      </c>
      <c r="N513" s="251">
        <f t="shared" si="2394"/>
        <v>0</v>
      </c>
      <c r="O513" s="371">
        <f t="shared" si="2394"/>
        <v>38422.85</v>
      </c>
      <c r="P513" s="371">
        <f t="shared" si="2394"/>
        <v>0</v>
      </c>
      <c r="Q513" s="371">
        <f t="shared" si="2394"/>
        <v>0</v>
      </c>
      <c r="R513" s="380">
        <f t="shared" ref="R513:T513" si="2395">IF(BK513=0,SUM(AA513+AD513+AG513+AJ513+AM513+AP513+AS513+AV513+AY513+BB513+BE513+BH513),BK513)</f>
        <v>38422.85</v>
      </c>
      <c r="S513" s="380">
        <f t="shared" si="2395"/>
        <v>0</v>
      </c>
      <c r="T513" s="380">
        <f t="shared" si="2395"/>
        <v>0</v>
      </c>
      <c r="U513" s="251">
        <f t="shared" ref="U513:W513" si="2396">U514+U526</f>
        <v>-2.9103830456733704E-11</v>
      </c>
      <c r="V513" s="251">
        <f t="shared" si="2396"/>
        <v>0</v>
      </c>
      <c r="W513" s="251">
        <f t="shared" si="2396"/>
        <v>0</v>
      </c>
      <c r="X513" s="106">
        <f t="shared" ref="X513:Y513" si="2397">IF(O513&gt;0,O513/K513,0)</f>
        <v>1.0000000000000007</v>
      </c>
      <c r="Y513" s="106">
        <f t="shared" si="2397"/>
        <v>0</v>
      </c>
      <c r="Z513" s="106">
        <f t="shared" si="2391"/>
        <v>0</v>
      </c>
      <c r="AA513" s="371">
        <f t="shared" ref="AA513:BW513" si="2398">AA514+AA526</f>
        <v>3800</v>
      </c>
      <c r="AB513" s="371">
        <f t="shared" si="2398"/>
        <v>0</v>
      </c>
      <c r="AC513" s="371">
        <f t="shared" si="2398"/>
        <v>0</v>
      </c>
      <c r="AD513" s="371">
        <f t="shared" si="2398"/>
        <v>3800</v>
      </c>
      <c r="AE513" s="371">
        <f t="shared" si="2398"/>
        <v>0</v>
      </c>
      <c r="AF513" s="371">
        <f t="shared" si="2398"/>
        <v>0</v>
      </c>
      <c r="AG513" s="371">
        <f t="shared" si="2398"/>
        <v>3979.51</v>
      </c>
      <c r="AH513" s="371">
        <f t="shared" si="2398"/>
        <v>0</v>
      </c>
      <c r="AI513" s="371">
        <f t="shared" si="2398"/>
        <v>0</v>
      </c>
      <c r="AJ513" s="371">
        <f t="shared" si="2398"/>
        <v>3600</v>
      </c>
      <c r="AK513" s="371">
        <f t="shared" si="2398"/>
        <v>0</v>
      </c>
      <c r="AL513" s="371">
        <f t="shared" si="2398"/>
        <v>0</v>
      </c>
      <c r="AM513" s="371">
        <f t="shared" si="2398"/>
        <v>3820.29</v>
      </c>
      <c r="AN513" s="371">
        <f t="shared" si="2398"/>
        <v>0</v>
      </c>
      <c r="AO513" s="371">
        <f t="shared" si="2398"/>
        <v>0</v>
      </c>
      <c r="AP513" s="371">
        <f t="shared" si="2398"/>
        <v>4136.22</v>
      </c>
      <c r="AQ513" s="371">
        <f t="shared" si="2398"/>
        <v>0</v>
      </c>
      <c r="AR513" s="371">
        <f t="shared" si="2398"/>
        <v>0</v>
      </c>
      <c r="AS513" s="371">
        <f t="shared" si="2398"/>
        <v>5306.03</v>
      </c>
      <c r="AT513" s="371">
        <f t="shared" si="2398"/>
        <v>0</v>
      </c>
      <c r="AU513" s="371">
        <f t="shared" si="2398"/>
        <v>0</v>
      </c>
      <c r="AV513" s="371">
        <f t="shared" si="2398"/>
        <v>2977.74</v>
      </c>
      <c r="AW513" s="371">
        <f t="shared" si="2398"/>
        <v>0</v>
      </c>
      <c r="AX513" s="371">
        <f t="shared" si="2398"/>
        <v>0</v>
      </c>
      <c r="AY513" s="371">
        <f t="shared" si="2398"/>
        <v>1350.3</v>
      </c>
      <c r="AZ513" s="371">
        <f t="shared" si="2398"/>
        <v>0</v>
      </c>
      <c r="BA513" s="371">
        <f t="shared" si="2398"/>
        <v>0</v>
      </c>
      <c r="BB513" s="371">
        <f t="shared" si="2398"/>
        <v>1574.69</v>
      </c>
      <c r="BC513" s="371">
        <f t="shared" si="2398"/>
        <v>0</v>
      </c>
      <c r="BD513" s="371">
        <f t="shared" si="2398"/>
        <v>0</v>
      </c>
      <c r="BE513" s="371">
        <f t="shared" si="2398"/>
        <v>2878.0699999999997</v>
      </c>
      <c r="BF513" s="371">
        <f t="shared" si="2398"/>
        <v>0</v>
      </c>
      <c r="BG513" s="371">
        <f t="shared" si="2398"/>
        <v>0</v>
      </c>
      <c r="BH513" s="371">
        <f t="shared" si="2398"/>
        <v>1200</v>
      </c>
      <c r="BI513" s="371">
        <f t="shared" si="2398"/>
        <v>0</v>
      </c>
      <c r="BJ513" s="371">
        <f t="shared" si="2398"/>
        <v>0</v>
      </c>
      <c r="BK513" s="371">
        <f t="shared" si="2398"/>
        <v>38422.85</v>
      </c>
      <c r="BL513" s="371">
        <f t="shared" si="2398"/>
        <v>0</v>
      </c>
      <c r="BM513" s="371">
        <f t="shared" si="2398"/>
        <v>0</v>
      </c>
      <c r="BN513" s="371">
        <f t="shared" si="2398"/>
        <v>0</v>
      </c>
      <c r="BO513" s="371">
        <f t="shared" si="2398"/>
        <v>0</v>
      </c>
      <c r="BP513" s="371">
        <f t="shared" si="2398"/>
        <v>0</v>
      </c>
      <c r="BQ513" s="371">
        <f t="shared" si="2398"/>
        <v>-2.9103830456733704E-11</v>
      </c>
      <c r="BR513" s="371">
        <f t="shared" si="2398"/>
        <v>0</v>
      </c>
      <c r="BS513" s="371">
        <f t="shared" si="2398"/>
        <v>0</v>
      </c>
      <c r="BT513" s="371">
        <f t="shared" si="2398"/>
        <v>0</v>
      </c>
      <c r="BU513" s="371">
        <f t="shared" si="2398"/>
        <v>0</v>
      </c>
      <c r="BV513" s="371">
        <f t="shared" si="2398"/>
        <v>0</v>
      </c>
      <c r="BW513" s="371">
        <f t="shared" si="2398"/>
        <v>0</v>
      </c>
      <c r="BX513" s="1"/>
      <c r="BY513" s="1"/>
      <c r="BZ513" s="1"/>
      <c r="CA513" s="1"/>
      <c r="CB513" s="1"/>
      <c r="CC513" s="1"/>
      <c r="CD513" s="1"/>
      <c r="CE513" s="1"/>
      <c r="CF513" s="1"/>
      <c r="CG513" s="1"/>
    </row>
    <row r="514" spans="1:85" ht="15.75" customHeight="1">
      <c r="A514" s="326"/>
      <c r="B514" s="354"/>
      <c r="C514" s="328"/>
      <c r="D514" s="329" t="s">
        <v>824</v>
      </c>
      <c r="E514" s="330">
        <f t="shared" ref="E514:H514" si="2399">E515+E518+E522+E524</f>
        <v>69432.98</v>
      </c>
      <c r="F514" s="330">
        <f t="shared" si="2399"/>
        <v>7568.1919999999955</v>
      </c>
      <c r="G514" s="330">
        <f t="shared" si="2399"/>
        <v>61864.788000000008</v>
      </c>
      <c r="H514" s="330">
        <f t="shared" si="2399"/>
        <v>0</v>
      </c>
      <c r="I514" s="331">
        <f t="shared" si="2387"/>
        <v>0.56341646236628118</v>
      </c>
      <c r="J514" s="331">
        <f t="shared" si="2388"/>
        <v>0.56341646236628173</v>
      </c>
      <c r="K514" s="330">
        <f t="shared" ref="K514:W514" si="2400">K515+K518+K522+K524</f>
        <v>34855.63999999997</v>
      </c>
      <c r="L514" s="330">
        <f t="shared" si="2400"/>
        <v>0</v>
      </c>
      <c r="M514" s="330">
        <f t="shared" si="2400"/>
        <v>0</v>
      </c>
      <c r="N514" s="330">
        <f t="shared" si="2400"/>
        <v>0</v>
      </c>
      <c r="O514" s="330">
        <f t="shared" si="2400"/>
        <v>34855.64</v>
      </c>
      <c r="P514" s="330">
        <f t="shared" si="2400"/>
        <v>0</v>
      </c>
      <c r="Q514" s="330">
        <f t="shared" si="2400"/>
        <v>0</v>
      </c>
      <c r="R514" s="330">
        <f t="shared" si="2400"/>
        <v>34855.64</v>
      </c>
      <c r="S514" s="330">
        <f t="shared" si="2400"/>
        <v>0</v>
      </c>
      <c r="T514" s="330">
        <f t="shared" si="2400"/>
        <v>0</v>
      </c>
      <c r="U514" s="330">
        <f t="shared" si="2400"/>
        <v>-2.9103830456733704E-11</v>
      </c>
      <c r="V514" s="330">
        <f t="shared" si="2400"/>
        <v>0</v>
      </c>
      <c r="W514" s="330">
        <f t="shared" si="2400"/>
        <v>0</v>
      </c>
      <c r="X514" s="332">
        <f t="shared" ref="X514:Y514" si="2401">IF(O514&gt;0,O514/K514,0)</f>
        <v>1.0000000000000009</v>
      </c>
      <c r="Y514" s="332">
        <f t="shared" si="2401"/>
        <v>0</v>
      </c>
      <c r="Z514" s="332">
        <f t="shared" si="2391"/>
        <v>0</v>
      </c>
      <c r="AA514" s="330">
        <f t="shared" ref="AA514:BW514" si="2402">AA515+AA518+AA522+AA524</f>
        <v>3800</v>
      </c>
      <c r="AB514" s="330">
        <f t="shared" si="2402"/>
        <v>0</v>
      </c>
      <c r="AC514" s="330">
        <f t="shared" si="2402"/>
        <v>0</v>
      </c>
      <c r="AD514" s="330">
        <f t="shared" si="2402"/>
        <v>3800</v>
      </c>
      <c r="AE514" s="330">
        <f t="shared" si="2402"/>
        <v>0</v>
      </c>
      <c r="AF514" s="330">
        <f t="shared" si="2402"/>
        <v>0</v>
      </c>
      <c r="AG514" s="330">
        <f t="shared" si="2402"/>
        <v>3979.51</v>
      </c>
      <c r="AH514" s="330">
        <f t="shared" si="2402"/>
        <v>0</v>
      </c>
      <c r="AI514" s="330">
        <f t="shared" si="2402"/>
        <v>0</v>
      </c>
      <c r="AJ514" s="330">
        <f t="shared" si="2402"/>
        <v>3600</v>
      </c>
      <c r="AK514" s="330">
        <f t="shared" si="2402"/>
        <v>0</v>
      </c>
      <c r="AL514" s="330">
        <f t="shared" si="2402"/>
        <v>0</v>
      </c>
      <c r="AM514" s="330">
        <f t="shared" si="2402"/>
        <v>3752.61</v>
      </c>
      <c r="AN514" s="330">
        <f t="shared" si="2402"/>
        <v>0</v>
      </c>
      <c r="AO514" s="330">
        <f t="shared" si="2402"/>
        <v>0</v>
      </c>
      <c r="AP514" s="330">
        <f t="shared" si="2402"/>
        <v>4136.22</v>
      </c>
      <c r="AQ514" s="330">
        <f t="shared" si="2402"/>
        <v>0</v>
      </c>
      <c r="AR514" s="330">
        <f t="shared" si="2402"/>
        <v>0</v>
      </c>
      <c r="AS514" s="330">
        <f t="shared" si="2402"/>
        <v>3600</v>
      </c>
      <c r="AT514" s="330">
        <f t="shared" si="2402"/>
        <v>0</v>
      </c>
      <c r="AU514" s="330">
        <f t="shared" si="2402"/>
        <v>0</v>
      </c>
      <c r="AV514" s="330">
        <f t="shared" si="2402"/>
        <v>2977.74</v>
      </c>
      <c r="AW514" s="330">
        <f t="shared" si="2402"/>
        <v>0</v>
      </c>
      <c r="AX514" s="330">
        <f t="shared" si="2402"/>
        <v>0</v>
      </c>
      <c r="AY514" s="330">
        <f t="shared" si="2402"/>
        <v>1200</v>
      </c>
      <c r="AZ514" s="330">
        <f t="shared" si="2402"/>
        <v>0</v>
      </c>
      <c r="BA514" s="330">
        <f t="shared" si="2402"/>
        <v>0</v>
      </c>
      <c r="BB514" s="330">
        <f t="shared" si="2402"/>
        <v>1350.3</v>
      </c>
      <c r="BC514" s="330">
        <f t="shared" si="2402"/>
        <v>0</v>
      </c>
      <c r="BD514" s="330">
        <f t="shared" si="2402"/>
        <v>0</v>
      </c>
      <c r="BE514" s="330">
        <f t="shared" si="2402"/>
        <v>1459.26</v>
      </c>
      <c r="BF514" s="330">
        <f t="shared" si="2402"/>
        <v>0</v>
      </c>
      <c r="BG514" s="330">
        <f t="shared" si="2402"/>
        <v>0</v>
      </c>
      <c r="BH514" s="330">
        <f t="shared" si="2402"/>
        <v>1200</v>
      </c>
      <c r="BI514" s="330">
        <f t="shared" si="2402"/>
        <v>0</v>
      </c>
      <c r="BJ514" s="330">
        <f t="shared" si="2402"/>
        <v>0</v>
      </c>
      <c r="BK514" s="330">
        <f t="shared" si="2402"/>
        <v>34855.64</v>
      </c>
      <c r="BL514" s="330">
        <f t="shared" si="2402"/>
        <v>0</v>
      </c>
      <c r="BM514" s="330">
        <f t="shared" si="2402"/>
        <v>0</v>
      </c>
      <c r="BN514" s="330">
        <f t="shared" si="2402"/>
        <v>0</v>
      </c>
      <c r="BO514" s="330">
        <f t="shared" si="2402"/>
        <v>0</v>
      </c>
      <c r="BP514" s="330">
        <f t="shared" si="2402"/>
        <v>0</v>
      </c>
      <c r="BQ514" s="330">
        <f t="shared" si="2402"/>
        <v>-2.9103830456733704E-11</v>
      </c>
      <c r="BR514" s="330">
        <f t="shared" si="2402"/>
        <v>0</v>
      </c>
      <c r="BS514" s="330">
        <f t="shared" si="2402"/>
        <v>0</v>
      </c>
      <c r="BT514" s="330">
        <f t="shared" si="2402"/>
        <v>0</v>
      </c>
      <c r="BU514" s="330">
        <f t="shared" si="2402"/>
        <v>0</v>
      </c>
      <c r="BV514" s="330">
        <f t="shared" si="2402"/>
        <v>0</v>
      </c>
      <c r="BW514" s="330">
        <f t="shared" si="2402"/>
        <v>0</v>
      </c>
      <c r="BX514" s="1"/>
      <c r="BY514" s="1"/>
      <c r="BZ514" s="1"/>
      <c r="CA514" s="1"/>
      <c r="CB514" s="1"/>
      <c r="CC514" s="1"/>
      <c r="CD514" s="1"/>
      <c r="CE514" s="1"/>
      <c r="CF514" s="1"/>
      <c r="CG514" s="1"/>
    </row>
    <row r="515" spans="1:85" ht="15.75">
      <c r="A515" s="355"/>
      <c r="B515" s="356"/>
      <c r="C515" s="357"/>
      <c r="D515" s="57" t="s">
        <v>116</v>
      </c>
      <c r="E515" s="286">
        <f t="shared" ref="E515:H515" si="2403">SUM(E516:E517)</f>
        <v>0</v>
      </c>
      <c r="F515" s="362">
        <f t="shared" si="2403"/>
        <v>0</v>
      </c>
      <c r="G515" s="362">
        <f t="shared" si="2403"/>
        <v>0</v>
      </c>
      <c r="H515" s="362">
        <f t="shared" si="2403"/>
        <v>0</v>
      </c>
      <c r="I515" s="287">
        <f t="shared" si="2387"/>
        <v>0</v>
      </c>
      <c r="J515" s="287">
        <f t="shared" si="2388"/>
        <v>0</v>
      </c>
      <c r="K515" s="362">
        <f t="shared" ref="K515:W515" si="2404">SUM(K516:K517)</f>
        <v>4655.6400000000003</v>
      </c>
      <c r="L515" s="362">
        <f t="shared" si="2404"/>
        <v>0</v>
      </c>
      <c r="M515" s="362">
        <f t="shared" si="2404"/>
        <v>0</v>
      </c>
      <c r="N515" s="362">
        <f t="shared" si="2404"/>
        <v>0</v>
      </c>
      <c r="O515" s="362">
        <f t="shared" si="2404"/>
        <v>4655.6400000000003</v>
      </c>
      <c r="P515" s="362">
        <f t="shared" si="2404"/>
        <v>0</v>
      </c>
      <c r="Q515" s="362">
        <f t="shared" si="2404"/>
        <v>0</v>
      </c>
      <c r="R515" s="362">
        <f t="shared" si="2404"/>
        <v>4655.6400000000003</v>
      </c>
      <c r="S515" s="362">
        <f t="shared" si="2404"/>
        <v>0</v>
      </c>
      <c r="T515" s="362">
        <f t="shared" si="2404"/>
        <v>0</v>
      </c>
      <c r="U515" s="362">
        <f t="shared" si="2404"/>
        <v>0</v>
      </c>
      <c r="V515" s="362">
        <f t="shared" si="2404"/>
        <v>0</v>
      </c>
      <c r="W515" s="362">
        <f t="shared" si="2404"/>
        <v>0</v>
      </c>
      <c r="X515" s="288">
        <f t="shared" ref="X515:Y515" si="2405">IF(O515&gt;0,O515/K515,0)</f>
        <v>1</v>
      </c>
      <c r="Y515" s="288">
        <f t="shared" si="2405"/>
        <v>0</v>
      </c>
      <c r="Z515" s="288">
        <f t="shared" si="2391"/>
        <v>0</v>
      </c>
      <c r="AA515" s="362">
        <f t="shared" ref="AA515:BW515" si="2406">SUM(AA516:AA517)</f>
        <v>0</v>
      </c>
      <c r="AB515" s="362">
        <f t="shared" si="2406"/>
        <v>0</v>
      </c>
      <c r="AC515" s="362">
        <f t="shared" si="2406"/>
        <v>0</v>
      </c>
      <c r="AD515" s="362">
        <f t="shared" si="2406"/>
        <v>0</v>
      </c>
      <c r="AE515" s="362">
        <f t="shared" si="2406"/>
        <v>0</v>
      </c>
      <c r="AF515" s="362">
        <f t="shared" si="2406"/>
        <v>0</v>
      </c>
      <c r="AG515" s="362">
        <f t="shared" si="2406"/>
        <v>579.51</v>
      </c>
      <c r="AH515" s="362">
        <f t="shared" si="2406"/>
        <v>0</v>
      </c>
      <c r="AI515" s="362">
        <f t="shared" si="2406"/>
        <v>0</v>
      </c>
      <c r="AJ515" s="362">
        <f t="shared" si="2406"/>
        <v>0</v>
      </c>
      <c r="AK515" s="362">
        <f t="shared" si="2406"/>
        <v>0</v>
      </c>
      <c r="AL515" s="362">
        <f t="shared" si="2406"/>
        <v>0</v>
      </c>
      <c r="AM515" s="362">
        <f t="shared" si="2406"/>
        <v>152.61000000000001</v>
      </c>
      <c r="AN515" s="362">
        <f t="shared" si="2406"/>
        <v>0</v>
      </c>
      <c r="AO515" s="362">
        <f t="shared" si="2406"/>
        <v>0</v>
      </c>
      <c r="AP515" s="362">
        <f t="shared" si="2406"/>
        <v>536.22</v>
      </c>
      <c r="AQ515" s="362">
        <f t="shared" si="2406"/>
        <v>0</v>
      </c>
      <c r="AR515" s="362">
        <f t="shared" si="2406"/>
        <v>0</v>
      </c>
      <c r="AS515" s="362">
        <f t="shared" si="2406"/>
        <v>0</v>
      </c>
      <c r="AT515" s="362">
        <f t="shared" si="2406"/>
        <v>0</v>
      </c>
      <c r="AU515" s="362">
        <f t="shared" si="2406"/>
        <v>0</v>
      </c>
      <c r="AV515" s="362">
        <f t="shared" si="2406"/>
        <v>2977.74</v>
      </c>
      <c r="AW515" s="362">
        <f t="shared" si="2406"/>
        <v>0</v>
      </c>
      <c r="AX515" s="362">
        <f t="shared" si="2406"/>
        <v>0</v>
      </c>
      <c r="AY515" s="362">
        <f t="shared" si="2406"/>
        <v>0</v>
      </c>
      <c r="AZ515" s="362">
        <f t="shared" si="2406"/>
        <v>0</v>
      </c>
      <c r="BA515" s="362">
        <f t="shared" si="2406"/>
        <v>0</v>
      </c>
      <c r="BB515" s="362">
        <f t="shared" si="2406"/>
        <v>150.30000000000001</v>
      </c>
      <c r="BC515" s="362">
        <f t="shared" si="2406"/>
        <v>0</v>
      </c>
      <c r="BD515" s="362">
        <f t="shared" si="2406"/>
        <v>0</v>
      </c>
      <c r="BE515" s="362">
        <f t="shared" si="2406"/>
        <v>259.26</v>
      </c>
      <c r="BF515" s="362">
        <f t="shared" si="2406"/>
        <v>0</v>
      </c>
      <c r="BG515" s="362">
        <f t="shared" si="2406"/>
        <v>0</v>
      </c>
      <c r="BH515" s="362">
        <f t="shared" si="2406"/>
        <v>0</v>
      </c>
      <c r="BI515" s="362">
        <f t="shared" si="2406"/>
        <v>0</v>
      </c>
      <c r="BJ515" s="362">
        <f t="shared" si="2406"/>
        <v>0</v>
      </c>
      <c r="BK515" s="362">
        <f t="shared" si="2406"/>
        <v>4655.6400000000003</v>
      </c>
      <c r="BL515" s="362">
        <f t="shared" si="2406"/>
        <v>0</v>
      </c>
      <c r="BM515" s="362">
        <f t="shared" si="2406"/>
        <v>0</v>
      </c>
      <c r="BN515" s="362">
        <f t="shared" si="2406"/>
        <v>0</v>
      </c>
      <c r="BO515" s="362">
        <f t="shared" si="2406"/>
        <v>0</v>
      </c>
      <c r="BP515" s="362">
        <f t="shared" si="2406"/>
        <v>0</v>
      </c>
      <c r="BQ515" s="362">
        <f t="shared" si="2406"/>
        <v>0</v>
      </c>
      <c r="BR515" s="362">
        <f t="shared" si="2406"/>
        <v>0</v>
      </c>
      <c r="BS515" s="362">
        <f t="shared" si="2406"/>
        <v>0</v>
      </c>
      <c r="BT515" s="362">
        <f t="shared" si="2406"/>
        <v>0</v>
      </c>
      <c r="BU515" s="362">
        <f t="shared" si="2406"/>
        <v>0</v>
      </c>
      <c r="BV515" s="362">
        <f t="shared" si="2406"/>
        <v>0</v>
      </c>
      <c r="BW515" s="362">
        <f t="shared" si="2406"/>
        <v>0</v>
      </c>
      <c r="BX515" s="1"/>
      <c r="BY515" s="1"/>
      <c r="BZ515" s="1"/>
      <c r="CA515" s="1"/>
      <c r="CB515" s="1"/>
      <c r="CC515" s="1"/>
      <c r="CD515" s="1"/>
      <c r="CE515" s="1"/>
      <c r="CF515" s="1"/>
      <c r="CG515" s="1"/>
    </row>
    <row r="516" spans="1:85" ht="15.75" customHeight="1">
      <c r="A516" s="125" t="s">
        <v>825</v>
      </c>
      <c r="B516" s="85"/>
      <c r="C516" s="86" t="s">
        <v>118</v>
      </c>
      <c r="D516" s="126" t="s">
        <v>826</v>
      </c>
      <c r="E516" s="70"/>
      <c r="F516" s="71"/>
      <c r="G516" s="71">
        <f t="shared" ref="G516:G517" si="2407">E516-F516</f>
        <v>0</v>
      </c>
      <c r="H516" s="70"/>
      <c r="I516" s="72">
        <f t="shared" si="2387"/>
        <v>0</v>
      </c>
      <c r="J516" s="72">
        <f t="shared" si="2388"/>
        <v>0</v>
      </c>
      <c r="K516" s="94">
        <f>1000+2000+1500+500-193.91-150.45</f>
        <v>4655.6400000000003</v>
      </c>
      <c r="L516" s="74"/>
      <c r="M516" s="390"/>
      <c r="N516" s="391"/>
      <c r="O516" s="77">
        <f t="shared" ref="O516:Q516" si="2408">AA516+AD516+AG516+AJ516+AM516+AP516+AS516+AV516+AY516+BB516+BE516+BH516</f>
        <v>4655.6400000000003</v>
      </c>
      <c r="P516" s="77">
        <f t="shared" si="2408"/>
        <v>0</v>
      </c>
      <c r="Q516" s="77">
        <f t="shared" si="2408"/>
        <v>0</v>
      </c>
      <c r="R516" s="77">
        <f t="shared" ref="R516:T516" si="2409">IF(BK516=0,SUM(AA516+AD516+AG516+AJ516+AM516+AP516+AS516+AV516+AY516+BB516+BE516+BH516),BK516)</f>
        <v>4655.6400000000003</v>
      </c>
      <c r="S516" s="77">
        <f t="shared" si="2409"/>
        <v>0</v>
      </c>
      <c r="T516" s="77">
        <f t="shared" si="2409"/>
        <v>0</v>
      </c>
      <c r="U516" s="78">
        <f t="shared" ref="U516:U517" si="2410">K516-O516</f>
        <v>0</v>
      </c>
      <c r="V516" s="79">
        <f t="shared" ref="V516:V517" si="2411">L516-M516-S516</f>
        <v>0</v>
      </c>
      <c r="W516" s="79">
        <f t="shared" ref="W516:W517" si="2412">N516-Q516</f>
        <v>0</v>
      </c>
      <c r="X516" s="80">
        <f t="shared" ref="X516:Y516" si="2413">IF(O516&gt;0,O516/K516,0)</f>
        <v>1</v>
      </c>
      <c r="Y516" s="80">
        <f t="shared" si="2413"/>
        <v>0</v>
      </c>
      <c r="Z516" s="80">
        <f t="shared" si="2391"/>
        <v>0</v>
      </c>
      <c r="AA516" s="81"/>
      <c r="AB516" s="81"/>
      <c r="AC516" s="81"/>
      <c r="AD516" s="81"/>
      <c r="AE516" s="83"/>
      <c r="AF516" s="83"/>
      <c r="AG516" s="83">
        <f>67.68+223.86+67.68+84.93+67.68+67.68</f>
        <v>579.51</v>
      </c>
      <c r="AH516" s="83"/>
      <c r="AI516" s="81"/>
      <c r="AJ516" s="81"/>
      <c r="AK516" s="81"/>
      <c r="AL516" s="81"/>
      <c r="AM516" s="81">
        <f>67.68+84.93</f>
        <v>152.61000000000001</v>
      </c>
      <c r="AN516" s="81"/>
      <c r="AO516" s="81"/>
      <c r="AP516" s="81">
        <f>400.86+67.68+67.68</f>
        <v>536.22</v>
      </c>
      <c r="AQ516" s="81"/>
      <c r="AR516" s="81"/>
      <c r="AS516" s="81"/>
      <c r="AT516" s="81"/>
      <c r="AU516" s="81"/>
      <c r="AV516" s="81">
        <f>1114.53+430.53+314.31+298.95+129.63+689.79</f>
        <v>2977.74</v>
      </c>
      <c r="AW516" s="81"/>
      <c r="AX516" s="81"/>
      <c r="AY516" s="81"/>
      <c r="AZ516" s="81"/>
      <c r="BA516" s="81"/>
      <c r="BB516" s="81">
        <f>150.3</f>
        <v>150.30000000000001</v>
      </c>
      <c r="BC516" s="81"/>
      <c r="BD516" s="81"/>
      <c r="BE516" s="81">
        <f>129.63+129.63</f>
        <v>259.26</v>
      </c>
      <c r="BF516" s="81"/>
      <c r="BG516" s="81"/>
      <c r="BH516" s="81">
        <f>150.45-150.45</f>
        <v>0</v>
      </c>
      <c r="BI516" s="81"/>
      <c r="BJ516" s="81"/>
      <c r="BK516" s="82">
        <v>4655.6400000000003</v>
      </c>
      <c r="BL516" s="82">
        <v>0</v>
      </c>
      <c r="BM516" s="82">
        <v>0</v>
      </c>
      <c r="BN516" s="81">
        <f t="shared" ref="BN516:BN517" si="2414">IF(O516-BK516&gt;0,O516-BK516,0)</f>
        <v>0</v>
      </c>
      <c r="BO516" s="75">
        <f t="shared" ref="BO516:BO517" si="2415">IF(Q516-BM516&gt;0,Q516-BM516,0)</f>
        <v>0</v>
      </c>
      <c r="BP516" s="81">
        <f t="shared" ref="BP516:BP517" si="2416">IF(BN516+BO516&gt;0,BN516+BO516,0)</f>
        <v>0</v>
      </c>
      <c r="BQ516" s="81">
        <f t="shared" ref="BQ516:BQ517" si="2417">IF(U516=0,0,U516)</f>
        <v>0</v>
      </c>
      <c r="BR516" s="81">
        <f t="shared" ref="BR516:BR517" si="2418">IF(W516=0,0,W516)</f>
        <v>0</v>
      </c>
      <c r="BS516" s="81">
        <f t="shared" ref="BS516:BS517" si="2419">IF(BQ516+BR516&gt;0,BQ516+BR516,0)</f>
        <v>0</v>
      </c>
      <c r="BT516" s="81">
        <f t="shared" ref="BT516:BT517" si="2420">IF(V516&gt;0,V516,0)</f>
        <v>0</v>
      </c>
      <c r="BU516" s="81">
        <f t="shared" ref="BU516:BU517" si="2421">IF(BP516=0,0,BP516)</f>
        <v>0</v>
      </c>
      <c r="BV516" s="81">
        <f t="shared" ref="BV516:BV517" si="2422">IF(BS516=0,0,BS516)</f>
        <v>0</v>
      </c>
      <c r="BW516" s="81">
        <f t="shared" ref="BW516:BW517" si="2423">IF(BP516+BT516+BV516&gt;0,BP516+BT516+BV516,0)</f>
        <v>0</v>
      </c>
      <c r="BX516" s="1"/>
      <c r="BY516" s="1"/>
      <c r="BZ516" s="1"/>
      <c r="CA516" s="1"/>
      <c r="CB516" s="1"/>
      <c r="CC516" s="1"/>
      <c r="CD516" s="1"/>
      <c r="CE516" s="1"/>
      <c r="CF516" s="1"/>
      <c r="CG516" s="1"/>
    </row>
    <row r="517" spans="1:85" ht="15.75" customHeight="1">
      <c r="A517" s="84"/>
      <c r="B517" s="85"/>
      <c r="C517" s="86" t="s">
        <v>123</v>
      </c>
      <c r="D517" s="87" t="s">
        <v>124</v>
      </c>
      <c r="E517" s="70">
        <v>0</v>
      </c>
      <c r="F517" s="71">
        <v>0</v>
      </c>
      <c r="G517" s="71">
        <f t="shared" si="2407"/>
        <v>0</v>
      </c>
      <c r="H517" s="70"/>
      <c r="I517" s="72">
        <f t="shared" si="2387"/>
        <v>0</v>
      </c>
      <c r="J517" s="72">
        <f t="shared" si="2388"/>
        <v>0</v>
      </c>
      <c r="K517" s="76"/>
      <c r="L517" s="74"/>
      <c r="M517" s="390"/>
      <c r="N517" s="391"/>
      <c r="O517" s="77">
        <f t="shared" ref="O517:Q517" si="2424">AA517+AD517+AG517+AJ517+AM517+AP517+AS517+AV517+AY517+BB517+BE517+BH517</f>
        <v>0</v>
      </c>
      <c r="P517" s="77">
        <f t="shared" si="2424"/>
        <v>0</v>
      </c>
      <c r="Q517" s="77">
        <f t="shared" si="2424"/>
        <v>0</v>
      </c>
      <c r="R517" s="77">
        <f t="shared" ref="R517:T517" si="2425">IF(BK517=0,SUM(AA517+AD517+AG517+AJ517+AM517+AP517+AS517+AV517+AY517+BB517+BE517+BH517),BK517)</f>
        <v>0</v>
      </c>
      <c r="S517" s="77">
        <f t="shared" si="2425"/>
        <v>0</v>
      </c>
      <c r="T517" s="77">
        <f t="shared" si="2425"/>
        <v>0</v>
      </c>
      <c r="U517" s="79">
        <f t="shared" si="2410"/>
        <v>0</v>
      </c>
      <c r="V517" s="79">
        <f t="shared" si="2411"/>
        <v>0</v>
      </c>
      <c r="W517" s="79">
        <f t="shared" si="2412"/>
        <v>0</v>
      </c>
      <c r="X517" s="80">
        <f t="shared" ref="X517:Y517" si="2426">IF(O517&gt;0,O517/K517,0)</f>
        <v>0</v>
      </c>
      <c r="Y517" s="80">
        <f t="shared" si="2426"/>
        <v>0</v>
      </c>
      <c r="Z517" s="80">
        <f t="shared" si="2391"/>
        <v>0</v>
      </c>
      <c r="AA517" s="81"/>
      <c r="AB517" s="81"/>
      <c r="AC517" s="81"/>
      <c r="AD517" s="81"/>
      <c r="AE517" s="83"/>
      <c r="AF517" s="83"/>
      <c r="AG517" s="83"/>
      <c r="AH517" s="83"/>
      <c r="AI517" s="81"/>
      <c r="AJ517" s="81"/>
      <c r="AK517" s="81"/>
      <c r="AL517" s="81"/>
      <c r="AM517" s="81"/>
      <c r="AN517" s="81"/>
      <c r="AO517" s="81"/>
      <c r="AP517" s="81"/>
      <c r="AQ517" s="81"/>
      <c r="AR517" s="81"/>
      <c r="AS517" s="81"/>
      <c r="AT517" s="81"/>
      <c r="AU517" s="81"/>
      <c r="AV517" s="81"/>
      <c r="AW517" s="81"/>
      <c r="AX517" s="81"/>
      <c r="AY517" s="81"/>
      <c r="AZ517" s="81"/>
      <c r="BA517" s="81"/>
      <c r="BB517" s="81"/>
      <c r="BC517" s="81"/>
      <c r="BD517" s="81"/>
      <c r="BE517" s="81"/>
      <c r="BF517" s="81"/>
      <c r="BG517" s="81"/>
      <c r="BH517" s="81"/>
      <c r="BI517" s="81"/>
      <c r="BJ517" s="81"/>
      <c r="BK517" s="82">
        <v>0</v>
      </c>
      <c r="BL517" s="82">
        <v>0</v>
      </c>
      <c r="BM517" s="82">
        <v>0</v>
      </c>
      <c r="BN517" s="81">
        <f t="shared" si="2414"/>
        <v>0</v>
      </c>
      <c r="BO517" s="75">
        <f t="shared" si="2415"/>
        <v>0</v>
      </c>
      <c r="BP517" s="81">
        <f t="shared" si="2416"/>
        <v>0</v>
      </c>
      <c r="BQ517" s="81">
        <f t="shared" si="2417"/>
        <v>0</v>
      </c>
      <c r="BR517" s="81">
        <f t="shared" si="2418"/>
        <v>0</v>
      </c>
      <c r="BS517" s="81">
        <f t="shared" si="2419"/>
        <v>0</v>
      </c>
      <c r="BT517" s="81">
        <f t="shared" si="2420"/>
        <v>0</v>
      </c>
      <c r="BU517" s="81">
        <f t="shared" si="2421"/>
        <v>0</v>
      </c>
      <c r="BV517" s="81">
        <f t="shared" si="2422"/>
        <v>0</v>
      </c>
      <c r="BW517" s="81">
        <f t="shared" si="2423"/>
        <v>0</v>
      </c>
      <c r="BX517" s="1"/>
      <c r="BY517" s="1"/>
      <c r="BZ517" s="1"/>
      <c r="CA517" s="1"/>
      <c r="CB517" s="1"/>
      <c r="CC517" s="1"/>
      <c r="CD517" s="1"/>
      <c r="CE517" s="1"/>
      <c r="CF517" s="1"/>
      <c r="CG517" s="1"/>
    </row>
    <row r="518" spans="1:85" ht="15.75">
      <c r="A518" s="109"/>
      <c r="B518" s="110"/>
      <c r="C518" s="111"/>
      <c r="D518" s="112" t="s">
        <v>632</v>
      </c>
      <c r="E518" s="58">
        <f t="shared" ref="E518:H518" si="2427">SUM(E519:E521)</f>
        <v>61900</v>
      </c>
      <c r="F518" s="58">
        <f t="shared" si="2427"/>
        <v>7568.1919999999955</v>
      </c>
      <c r="G518" s="58">
        <f t="shared" si="2427"/>
        <v>54331.808000000005</v>
      </c>
      <c r="H518" s="58">
        <f t="shared" si="2427"/>
        <v>0</v>
      </c>
      <c r="I518" s="60">
        <f t="shared" si="2387"/>
        <v>0.55584382540702437</v>
      </c>
      <c r="J518" s="60">
        <f t="shared" si="2388"/>
        <v>0.55584382540702493</v>
      </c>
      <c r="K518" s="58">
        <f t="shared" ref="K518:W518" si="2428">SUM(K519:K521)</f>
        <v>30199.999999999971</v>
      </c>
      <c r="L518" s="58">
        <f t="shared" si="2428"/>
        <v>0</v>
      </c>
      <c r="M518" s="58">
        <f t="shared" si="2428"/>
        <v>0</v>
      </c>
      <c r="N518" s="58">
        <f t="shared" si="2428"/>
        <v>0</v>
      </c>
      <c r="O518" s="58">
        <f t="shared" si="2428"/>
        <v>30200</v>
      </c>
      <c r="P518" s="58">
        <f t="shared" si="2428"/>
        <v>0</v>
      </c>
      <c r="Q518" s="58">
        <f t="shared" si="2428"/>
        <v>0</v>
      </c>
      <c r="R518" s="58">
        <f t="shared" si="2428"/>
        <v>30200</v>
      </c>
      <c r="S518" s="58">
        <f t="shared" si="2428"/>
        <v>0</v>
      </c>
      <c r="T518" s="58">
        <f t="shared" si="2428"/>
        <v>0</v>
      </c>
      <c r="U518" s="58">
        <f t="shared" si="2428"/>
        <v>-2.9103830456733704E-11</v>
      </c>
      <c r="V518" s="58">
        <f t="shared" si="2428"/>
        <v>0</v>
      </c>
      <c r="W518" s="58">
        <f t="shared" si="2428"/>
        <v>0</v>
      </c>
      <c r="X518" s="63">
        <f t="shared" ref="X518:Y518" si="2429">IF(O518&gt;0,O518/K518,0)</f>
        <v>1.0000000000000009</v>
      </c>
      <c r="Y518" s="63">
        <f t="shared" si="2429"/>
        <v>0</v>
      </c>
      <c r="Z518" s="63">
        <f t="shared" si="2391"/>
        <v>0</v>
      </c>
      <c r="AA518" s="58">
        <f t="shared" ref="AA518:BW518" si="2430">SUM(AA519:AA521)</f>
        <v>3800</v>
      </c>
      <c r="AB518" s="58">
        <f t="shared" si="2430"/>
        <v>0</v>
      </c>
      <c r="AC518" s="58">
        <f t="shared" si="2430"/>
        <v>0</v>
      </c>
      <c r="AD518" s="58">
        <f t="shared" si="2430"/>
        <v>3800</v>
      </c>
      <c r="AE518" s="58">
        <f t="shared" si="2430"/>
        <v>0</v>
      </c>
      <c r="AF518" s="58">
        <f t="shared" si="2430"/>
        <v>0</v>
      </c>
      <c r="AG518" s="58">
        <f t="shared" si="2430"/>
        <v>3400</v>
      </c>
      <c r="AH518" s="58">
        <f t="shared" si="2430"/>
        <v>0</v>
      </c>
      <c r="AI518" s="58">
        <f t="shared" si="2430"/>
        <v>0</v>
      </c>
      <c r="AJ518" s="58">
        <f t="shared" si="2430"/>
        <v>3600</v>
      </c>
      <c r="AK518" s="58">
        <f t="shared" si="2430"/>
        <v>0</v>
      </c>
      <c r="AL518" s="58">
        <f t="shared" si="2430"/>
        <v>0</v>
      </c>
      <c r="AM518" s="58">
        <f t="shared" si="2430"/>
        <v>3600</v>
      </c>
      <c r="AN518" s="58">
        <f t="shared" si="2430"/>
        <v>0</v>
      </c>
      <c r="AO518" s="58">
        <f t="shared" si="2430"/>
        <v>0</v>
      </c>
      <c r="AP518" s="58">
        <f t="shared" si="2430"/>
        <v>3600</v>
      </c>
      <c r="AQ518" s="58">
        <f t="shared" si="2430"/>
        <v>0</v>
      </c>
      <c r="AR518" s="58">
        <f t="shared" si="2430"/>
        <v>0</v>
      </c>
      <c r="AS518" s="58">
        <f t="shared" si="2430"/>
        <v>3600</v>
      </c>
      <c r="AT518" s="58">
        <f t="shared" si="2430"/>
        <v>0</v>
      </c>
      <c r="AU518" s="58">
        <f t="shared" si="2430"/>
        <v>0</v>
      </c>
      <c r="AV518" s="58">
        <f t="shared" si="2430"/>
        <v>0</v>
      </c>
      <c r="AW518" s="58">
        <f t="shared" si="2430"/>
        <v>0</v>
      </c>
      <c r="AX518" s="58">
        <f t="shared" si="2430"/>
        <v>0</v>
      </c>
      <c r="AY518" s="58">
        <f t="shared" si="2430"/>
        <v>1200</v>
      </c>
      <c r="AZ518" s="58">
        <f t="shared" si="2430"/>
        <v>0</v>
      </c>
      <c r="BA518" s="58">
        <f t="shared" si="2430"/>
        <v>0</v>
      </c>
      <c r="BB518" s="58">
        <f t="shared" si="2430"/>
        <v>1200</v>
      </c>
      <c r="BC518" s="58">
        <f t="shared" si="2430"/>
        <v>0</v>
      </c>
      <c r="BD518" s="58">
        <f t="shared" si="2430"/>
        <v>0</v>
      </c>
      <c r="BE518" s="58">
        <f t="shared" si="2430"/>
        <v>1200</v>
      </c>
      <c r="BF518" s="58">
        <f t="shared" si="2430"/>
        <v>0</v>
      </c>
      <c r="BG518" s="58">
        <f t="shared" si="2430"/>
        <v>0</v>
      </c>
      <c r="BH518" s="58">
        <f t="shared" si="2430"/>
        <v>1200</v>
      </c>
      <c r="BI518" s="58">
        <f t="shared" si="2430"/>
        <v>0</v>
      </c>
      <c r="BJ518" s="58">
        <f t="shared" si="2430"/>
        <v>0</v>
      </c>
      <c r="BK518" s="58">
        <f t="shared" si="2430"/>
        <v>30200</v>
      </c>
      <c r="BL518" s="58">
        <f t="shared" si="2430"/>
        <v>0</v>
      </c>
      <c r="BM518" s="58">
        <f t="shared" si="2430"/>
        <v>0</v>
      </c>
      <c r="BN518" s="58">
        <f t="shared" si="2430"/>
        <v>0</v>
      </c>
      <c r="BO518" s="58">
        <f t="shared" si="2430"/>
        <v>0</v>
      </c>
      <c r="BP518" s="58">
        <f t="shared" si="2430"/>
        <v>0</v>
      </c>
      <c r="BQ518" s="58">
        <f t="shared" si="2430"/>
        <v>-2.9103830456733704E-11</v>
      </c>
      <c r="BR518" s="58">
        <f t="shared" si="2430"/>
        <v>0</v>
      </c>
      <c r="BS518" s="58">
        <f t="shared" si="2430"/>
        <v>0</v>
      </c>
      <c r="BT518" s="58">
        <f t="shared" si="2430"/>
        <v>0</v>
      </c>
      <c r="BU518" s="58">
        <f t="shared" si="2430"/>
        <v>0</v>
      </c>
      <c r="BV518" s="58">
        <f t="shared" si="2430"/>
        <v>0</v>
      </c>
      <c r="BW518" s="58">
        <f t="shared" si="2430"/>
        <v>0</v>
      </c>
      <c r="BX518" s="65"/>
      <c r="BY518" s="65"/>
      <c r="BZ518" s="65"/>
      <c r="CA518" s="65"/>
      <c r="CB518" s="65"/>
      <c r="CC518" s="65"/>
      <c r="CD518" s="65"/>
      <c r="CE518" s="65"/>
      <c r="CF518" s="65"/>
      <c r="CG518" s="65"/>
    </row>
    <row r="519" spans="1:85" ht="15.75" customHeight="1">
      <c r="A519" s="392" t="s">
        <v>827</v>
      </c>
      <c r="B519" s="361"/>
      <c r="C519" s="86" t="s">
        <v>448</v>
      </c>
      <c r="D519" s="393" t="s">
        <v>828</v>
      </c>
      <c r="E519" s="70">
        <v>61900</v>
      </c>
      <c r="F519" s="70">
        <f>E514-(4124319.2*1.5%)</f>
        <v>7568.1919999999955</v>
      </c>
      <c r="G519" s="71">
        <f t="shared" ref="G519:G521" si="2431">E519-F519</f>
        <v>54331.808000000005</v>
      </c>
      <c r="H519" s="70"/>
      <c r="I519" s="72">
        <f t="shared" si="2387"/>
        <v>0.4674977869317356</v>
      </c>
      <c r="J519" s="72">
        <f t="shared" si="2388"/>
        <v>0.46749778693173616</v>
      </c>
      <c r="K519" s="394">
        <f>26600+240409.22-240409.22-1200</f>
        <v>25399.999999999971</v>
      </c>
      <c r="L519" s="74"/>
      <c r="M519" s="81"/>
      <c r="N519" s="88"/>
      <c r="O519" s="77">
        <f t="shared" ref="O519:Q519" si="2432">AA519+AD519+AG519+AJ519+AM519+AP519+AS519+AV519+AY519+BB519+BE519+BH519</f>
        <v>25400</v>
      </c>
      <c r="P519" s="77">
        <f t="shared" si="2432"/>
        <v>0</v>
      </c>
      <c r="Q519" s="77">
        <f t="shared" si="2432"/>
        <v>0</v>
      </c>
      <c r="R519" s="77">
        <f t="shared" ref="R519:T519" si="2433">IF(BK519=0,SUM(AA519+AD519+AG519+AJ519+AM519+AP519+AS519+AV519+AY519+BB519+BE519+BH519),BK519)</f>
        <v>25400</v>
      </c>
      <c r="S519" s="77">
        <f t="shared" si="2433"/>
        <v>0</v>
      </c>
      <c r="T519" s="77">
        <f t="shared" si="2433"/>
        <v>0</v>
      </c>
      <c r="U519" s="78">
        <f t="shared" ref="U519:U521" si="2434">K519-O519</f>
        <v>-2.9103830456733704E-11</v>
      </c>
      <c r="V519" s="79">
        <f t="shared" ref="V519:V521" si="2435">L519-M519-S519</f>
        <v>0</v>
      </c>
      <c r="W519" s="79">
        <f t="shared" ref="W519:W521" si="2436">N519-Q519</f>
        <v>0</v>
      </c>
      <c r="X519" s="80">
        <f t="shared" ref="X519:Y519" si="2437">IF(O519&gt;0,O519/K519,0)</f>
        <v>1.0000000000000011</v>
      </c>
      <c r="Y519" s="80">
        <f t="shared" si="2437"/>
        <v>0</v>
      </c>
      <c r="Z519" s="80">
        <f t="shared" si="2391"/>
        <v>0</v>
      </c>
      <c r="AA519" s="82">
        <v>3800</v>
      </c>
      <c r="AB519" s="81"/>
      <c r="AC519" s="81"/>
      <c r="AD519" s="82">
        <v>3800</v>
      </c>
      <c r="AE519" s="83"/>
      <c r="AF519" s="83"/>
      <c r="AG519" s="128">
        <v>3400</v>
      </c>
      <c r="AH519" s="83"/>
      <c r="AI519" s="81"/>
      <c r="AJ519" s="82">
        <v>3600</v>
      </c>
      <c r="AK519" s="81"/>
      <c r="AL519" s="81"/>
      <c r="AM519" s="82">
        <v>3600</v>
      </c>
      <c r="AN519" s="81"/>
      <c r="AO519" s="81"/>
      <c r="AP519" s="82">
        <v>3600</v>
      </c>
      <c r="AQ519" s="81"/>
      <c r="AR519" s="81"/>
      <c r="AS519" s="82">
        <v>3600</v>
      </c>
      <c r="AT519" s="81"/>
      <c r="AU519" s="81"/>
      <c r="AV519" s="81"/>
      <c r="AW519" s="81"/>
      <c r="AX519" s="81"/>
      <c r="AY519" s="81"/>
      <c r="AZ519" s="81"/>
      <c r="BA519" s="81"/>
      <c r="BB519" s="81"/>
      <c r="BC519" s="81"/>
      <c r="BD519" s="81"/>
      <c r="BE519" s="81"/>
      <c r="BF519" s="81"/>
      <c r="BG519" s="81"/>
      <c r="BH519" s="81"/>
      <c r="BI519" s="81"/>
      <c r="BJ519" s="81"/>
      <c r="BK519" s="82">
        <v>25400</v>
      </c>
      <c r="BL519" s="82">
        <v>0</v>
      </c>
      <c r="BM519" s="82">
        <v>0</v>
      </c>
      <c r="BN519" s="81">
        <f t="shared" ref="BN519:BN521" si="2438">IF(O519-BK519&gt;0,O519-BK519,0)</f>
        <v>0</v>
      </c>
      <c r="BO519" s="75">
        <f t="shared" ref="BO519:BO521" si="2439">IF(Q519-BM519&gt;0,Q519-BM519,0)</f>
        <v>0</v>
      </c>
      <c r="BP519" s="81">
        <f t="shared" ref="BP519:BP521" si="2440">IF(BN519+BO519&gt;0,BN519+BO519,0)</f>
        <v>0</v>
      </c>
      <c r="BQ519" s="81">
        <f t="shared" ref="BQ519:BQ521" si="2441">IF(U519=0,0,U519)</f>
        <v>-2.9103830456733704E-11</v>
      </c>
      <c r="BR519" s="81">
        <f t="shared" ref="BR519:BR521" si="2442">IF(W519=0,0,W519)</f>
        <v>0</v>
      </c>
      <c r="BS519" s="81">
        <f t="shared" ref="BS519:BS521" si="2443">IF(BQ519+BR519&gt;0,BQ519+BR519,0)</f>
        <v>0</v>
      </c>
      <c r="BT519" s="81">
        <f t="shared" ref="BT519:BT521" si="2444">IF(V519&gt;0,V519,0)</f>
        <v>0</v>
      </c>
      <c r="BU519" s="81">
        <f t="shared" ref="BU519:BU521" si="2445">IF(BP519=0,0,BP519)</f>
        <v>0</v>
      </c>
      <c r="BV519" s="81">
        <f t="shared" ref="BV519:BV521" si="2446">IF(BS519=0,0,BS519)</f>
        <v>0</v>
      </c>
      <c r="BW519" s="81">
        <f t="shared" ref="BW519:BW521" si="2447">IF(BP519+BT519+BV519&gt;0,BP519+BT519+BV519,0)</f>
        <v>0</v>
      </c>
      <c r="BX519" s="1"/>
      <c r="BY519" s="1"/>
      <c r="BZ519" s="1"/>
      <c r="CA519" s="1"/>
      <c r="CB519" s="1"/>
      <c r="CC519" s="1"/>
      <c r="CD519" s="1"/>
      <c r="CE519" s="1"/>
      <c r="CF519" s="1"/>
      <c r="CG519" s="1"/>
    </row>
    <row r="520" spans="1:85" ht="15.75" customHeight="1">
      <c r="A520" s="392" t="s">
        <v>829</v>
      </c>
      <c r="B520" s="361"/>
      <c r="C520" s="86" t="s">
        <v>448</v>
      </c>
      <c r="D520" s="395" t="s">
        <v>830</v>
      </c>
      <c r="E520" s="70"/>
      <c r="F520" s="71"/>
      <c r="G520" s="71">
        <f t="shared" si="2431"/>
        <v>0</v>
      </c>
      <c r="H520" s="70"/>
      <c r="I520" s="72">
        <f t="shared" si="2387"/>
        <v>0</v>
      </c>
      <c r="J520" s="72">
        <f t="shared" si="2388"/>
        <v>0</v>
      </c>
      <c r="K520" s="94">
        <v>4800</v>
      </c>
      <c r="L520" s="74"/>
      <c r="M520" s="390"/>
      <c r="N520" s="391"/>
      <c r="O520" s="77">
        <f t="shared" ref="O520:Q520" si="2448">AA520+AD520+AG520+AJ520+AM520+AP520+AS520+AV520+AY520+BB520+BE520+BH520</f>
        <v>4800</v>
      </c>
      <c r="P520" s="77">
        <f t="shared" si="2448"/>
        <v>0</v>
      </c>
      <c r="Q520" s="77">
        <f t="shared" si="2448"/>
        <v>0</v>
      </c>
      <c r="R520" s="77">
        <f t="shared" ref="R520:T520" si="2449">IF(BK520=0,SUM(AA520+AD520+AG520+AJ520+AM520+AP520+AS520+AV520+AY520+BB520+BE520+BH520),BK520)</f>
        <v>4800</v>
      </c>
      <c r="S520" s="77">
        <f t="shared" si="2449"/>
        <v>0</v>
      </c>
      <c r="T520" s="77">
        <f t="shared" si="2449"/>
        <v>0</v>
      </c>
      <c r="U520" s="78">
        <f t="shared" si="2434"/>
        <v>0</v>
      </c>
      <c r="V520" s="79">
        <f t="shared" si="2435"/>
        <v>0</v>
      </c>
      <c r="W520" s="79">
        <f t="shared" si="2436"/>
        <v>0</v>
      </c>
      <c r="X520" s="80">
        <f t="shared" ref="X520:Y520" si="2450">IF(O520&gt;0,O520/K520,0)</f>
        <v>1</v>
      </c>
      <c r="Y520" s="80">
        <f t="shared" si="2450"/>
        <v>0</v>
      </c>
      <c r="Z520" s="80">
        <f t="shared" si="2391"/>
        <v>0</v>
      </c>
      <c r="AA520" s="81"/>
      <c r="AB520" s="81"/>
      <c r="AC520" s="81"/>
      <c r="AD520" s="81"/>
      <c r="AE520" s="83"/>
      <c r="AF520" s="83"/>
      <c r="AG520" s="83"/>
      <c r="AH520" s="83"/>
      <c r="AI520" s="81"/>
      <c r="AJ520" s="81"/>
      <c r="AK520" s="81"/>
      <c r="AL520" s="81"/>
      <c r="AM520" s="81"/>
      <c r="AN520" s="81"/>
      <c r="AO520" s="81"/>
      <c r="AP520" s="81"/>
      <c r="AQ520" s="81"/>
      <c r="AR520" s="81"/>
      <c r="AS520" s="81"/>
      <c r="AT520" s="81"/>
      <c r="AU520" s="81"/>
      <c r="AV520" s="81"/>
      <c r="AW520" s="81"/>
      <c r="AX520" s="81"/>
      <c r="AY520" s="82">
        <v>1200</v>
      </c>
      <c r="AZ520" s="81"/>
      <c r="BA520" s="81"/>
      <c r="BB520" s="81">
        <f>1200</f>
        <v>1200</v>
      </c>
      <c r="BC520" s="81"/>
      <c r="BD520" s="81"/>
      <c r="BE520" s="82">
        <v>1200</v>
      </c>
      <c r="BF520" s="81"/>
      <c r="BG520" s="81"/>
      <c r="BH520" s="81">
        <f>1200</f>
        <v>1200</v>
      </c>
      <c r="BI520" s="81"/>
      <c r="BJ520" s="81"/>
      <c r="BK520" s="82">
        <v>4800</v>
      </c>
      <c r="BL520" s="82">
        <v>0</v>
      </c>
      <c r="BM520" s="82">
        <v>0</v>
      </c>
      <c r="BN520" s="81">
        <f t="shared" si="2438"/>
        <v>0</v>
      </c>
      <c r="BO520" s="75">
        <f t="shared" si="2439"/>
        <v>0</v>
      </c>
      <c r="BP520" s="81">
        <f t="shared" si="2440"/>
        <v>0</v>
      </c>
      <c r="BQ520" s="81">
        <f t="shared" si="2441"/>
        <v>0</v>
      </c>
      <c r="BR520" s="81">
        <f t="shared" si="2442"/>
        <v>0</v>
      </c>
      <c r="BS520" s="81">
        <f t="shared" si="2443"/>
        <v>0</v>
      </c>
      <c r="BT520" s="81">
        <f t="shared" si="2444"/>
        <v>0</v>
      </c>
      <c r="BU520" s="81">
        <f t="shared" si="2445"/>
        <v>0</v>
      </c>
      <c r="BV520" s="81">
        <f t="shared" si="2446"/>
        <v>0</v>
      </c>
      <c r="BW520" s="81">
        <f t="shared" si="2447"/>
        <v>0</v>
      </c>
      <c r="BX520" s="1"/>
      <c r="BY520" s="1"/>
      <c r="BZ520" s="1"/>
      <c r="CA520" s="1"/>
      <c r="CB520" s="1"/>
      <c r="CC520" s="1"/>
      <c r="CD520" s="1"/>
      <c r="CE520" s="1"/>
      <c r="CF520" s="1"/>
      <c r="CG520" s="1"/>
    </row>
    <row r="521" spans="1:85" ht="15.75" customHeight="1">
      <c r="A521" s="84"/>
      <c r="B521" s="85"/>
      <c r="C521" s="86" t="s">
        <v>831</v>
      </c>
      <c r="D521" s="396" t="s">
        <v>832</v>
      </c>
      <c r="E521" s="70"/>
      <c r="F521" s="71"/>
      <c r="G521" s="71">
        <f t="shared" si="2431"/>
        <v>0</v>
      </c>
      <c r="H521" s="70"/>
      <c r="I521" s="72">
        <f t="shared" si="2387"/>
        <v>0</v>
      </c>
      <c r="J521" s="72">
        <f t="shared" si="2388"/>
        <v>0</v>
      </c>
      <c r="K521" s="76"/>
      <c r="L521" s="74"/>
      <c r="M521" s="390"/>
      <c r="N521" s="391"/>
      <c r="O521" s="77">
        <f t="shared" ref="O521:Q521" si="2451">AA521+AD521+AG521+AJ521+AM521+AP521+AS521+AV521+AY521+BB521+BE521+BH521</f>
        <v>0</v>
      </c>
      <c r="P521" s="77">
        <f t="shared" si="2451"/>
        <v>0</v>
      </c>
      <c r="Q521" s="77">
        <f t="shared" si="2451"/>
        <v>0</v>
      </c>
      <c r="R521" s="77">
        <f t="shared" ref="R521:T521" si="2452">IF(BK521=0,SUM(AA521+AD521+AG521+AJ521+AM521+AP521+AS521+AV521+AY521+BB521+BE521+BH521),BK521)</f>
        <v>0</v>
      </c>
      <c r="S521" s="77">
        <f t="shared" si="2452"/>
        <v>0</v>
      </c>
      <c r="T521" s="77">
        <f t="shared" si="2452"/>
        <v>0</v>
      </c>
      <c r="U521" s="79">
        <f t="shared" si="2434"/>
        <v>0</v>
      </c>
      <c r="V521" s="79">
        <f t="shared" si="2435"/>
        <v>0</v>
      </c>
      <c r="W521" s="79">
        <f t="shared" si="2436"/>
        <v>0</v>
      </c>
      <c r="X521" s="80">
        <f t="shared" ref="X521:Y521" si="2453">IF(O521&gt;0,O521/K521,0)</f>
        <v>0</v>
      </c>
      <c r="Y521" s="80">
        <f t="shared" si="2453"/>
        <v>0</v>
      </c>
      <c r="Z521" s="80">
        <f t="shared" si="2391"/>
        <v>0</v>
      </c>
      <c r="AA521" s="81"/>
      <c r="AB521" s="81"/>
      <c r="AC521" s="81"/>
      <c r="AD521" s="81"/>
      <c r="AE521" s="83"/>
      <c r="AF521" s="83"/>
      <c r="AG521" s="83"/>
      <c r="AH521" s="83"/>
      <c r="AI521" s="81"/>
      <c r="AJ521" s="81"/>
      <c r="AK521" s="81"/>
      <c r="AL521" s="81"/>
      <c r="AM521" s="81"/>
      <c r="AN521" s="81"/>
      <c r="AO521" s="81"/>
      <c r="AP521" s="81"/>
      <c r="AQ521" s="81"/>
      <c r="AR521" s="81"/>
      <c r="AS521" s="81"/>
      <c r="AT521" s="81"/>
      <c r="AU521" s="81"/>
      <c r="AV521" s="81"/>
      <c r="AW521" s="81"/>
      <c r="AX521" s="81"/>
      <c r="AY521" s="81"/>
      <c r="AZ521" s="81"/>
      <c r="BA521" s="81"/>
      <c r="BB521" s="81"/>
      <c r="BC521" s="81"/>
      <c r="BD521" s="81"/>
      <c r="BE521" s="81"/>
      <c r="BF521" s="81"/>
      <c r="BG521" s="81"/>
      <c r="BH521" s="81"/>
      <c r="BI521" s="81"/>
      <c r="BJ521" s="81"/>
      <c r="BK521" s="82">
        <v>0</v>
      </c>
      <c r="BL521" s="82">
        <v>0</v>
      </c>
      <c r="BM521" s="82">
        <v>0</v>
      </c>
      <c r="BN521" s="81">
        <f t="shared" si="2438"/>
        <v>0</v>
      </c>
      <c r="BO521" s="75">
        <f t="shared" si="2439"/>
        <v>0</v>
      </c>
      <c r="BP521" s="81">
        <f t="shared" si="2440"/>
        <v>0</v>
      </c>
      <c r="BQ521" s="81">
        <f t="shared" si="2441"/>
        <v>0</v>
      </c>
      <c r="BR521" s="81">
        <f t="shared" si="2442"/>
        <v>0</v>
      </c>
      <c r="BS521" s="81">
        <f t="shared" si="2443"/>
        <v>0</v>
      </c>
      <c r="BT521" s="81">
        <f t="shared" si="2444"/>
        <v>0</v>
      </c>
      <c r="BU521" s="81">
        <f t="shared" si="2445"/>
        <v>0</v>
      </c>
      <c r="BV521" s="81">
        <f t="shared" si="2446"/>
        <v>0</v>
      </c>
      <c r="BW521" s="81">
        <f t="shared" si="2447"/>
        <v>0</v>
      </c>
      <c r="BX521" s="1"/>
      <c r="BY521" s="1"/>
      <c r="BZ521" s="1"/>
      <c r="CA521" s="1"/>
      <c r="CB521" s="1"/>
      <c r="CC521" s="1"/>
      <c r="CD521" s="1"/>
      <c r="CE521" s="1"/>
      <c r="CF521" s="1"/>
      <c r="CG521" s="1"/>
    </row>
    <row r="522" spans="1:85" ht="15.75" customHeight="1">
      <c r="A522" s="270"/>
      <c r="B522" s="271"/>
      <c r="C522" s="272"/>
      <c r="D522" s="112" t="s">
        <v>452</v>
      </c>
      <c r="E522" s="58">
        <f t="shared" ref="E522:H522" si="2454">E523</f>
        <v>6000</v>
      </c>
      <c r="F522" s="59">
        <f t="shared" si="2454"/>
        <v>0</v>
      </c>
      <c r="G522" s="59">
        <f t="shared" si="2454"/>
        <v>6000</v>
      </c>
      <c r="H522" s="59">
        <f t="shared" si="2454"/>
        <v>0</v>
      </c>
      <c r="I522" s="60">
        <f t="shared" si="2387"/>
        <v>0</v>
      </c>
      <c r="J522" s="60">
        <f t="shared" si="2388"/>
        <v>0</v>
      </c>
      <c r="K522" s="59">
        <f t="shared" ref="K522:W522" si="2455">K523</f>
        <v>0</v>
      </c>
      <c r="L522" s="59">
        <f t="shared" si="2455"/>
        <v>0</v>
      </c>
      <c r="M522" s="59">
        <f t="shared" si="2455"/>
        <v>0</v>
      </c>
      <c r="N522" s="59">
        <f t="shared" si="2455"/>
        <v>0</v>
      </c>
      <c r="O522" s="59">
        <f t="shared" si="2455"/>
        <v>0</v>
      </c>
      <c r="P522" s="59">
        <f t="shared" si="2455"/>
        <v>0</v>
      </c>
      <c r="Q522" s="59">
        <f t="shared" si="2455"/>
        <v>0</v>
      </c>
      <c r="R522" s="59">
        <f t="shared" si="2455"/>
        <v>0</v>
      </c>
      <c r="S522" s="59">
        <f t="shared" si="2455"/>
        <v>0</v>
      </c>
      <c r="T522" s="59">
        <f t="shared" si="2455"/>
        <v>0</v>
      </c>
      <c r="U522" s="59">
        <f t="shared" si="2455"/>
        <v>0</v>
      </c>
      <c r="V522" s="59">
        <f t="shared" si="2455"/>
        <v>0</v>
      </c>
      <c r="W522" s="59">
        <f t="shared" si="2455"/>
        <v>0</v>
      </c>
      <c r="X522" s="63">
        <f t="shared" ref="X522:Y522" si="2456">IF(O522&gt;0,O522/K522,0)</f>
        <v>0</v>
      </c>
      <c r="Y522" s="63">
        <f t="shared" si="2456"/>
        <v>0</v>
      </c>
      <c r="Z522" s="63">
        <f t="shared" si="2391"/>
        <v>0</v>
      </c>
      <c r="AA522" s="59">
        <f t="shared" ref="AA522:BW522" si="2457">AA523</f>
        <v>0</v>
      </c>
      <c r="AB522" s="59">
        <f t="shared" si="2457"/>
        <v>0</v>
      </c>
      <c r="AC522" s="59">
        <f t="shared" si="2457"/>
        <v>0</v>
      </c>
      <c r="AD522" s="59">
        <f t="shared" si="2457"/>
        <v>0</v>
      </c>
      <c r="AE522" s="59">
        <f t="shared" si="2457"/>
        <v>0</v>
      </c>
      <c r="AF522" s="59">
        <f t="shared" si="2457"/>
        <v>0</v>
      </c>
      <c r="AG522" s="59">
        <f t="shared" si="2457"/>
        <v>0</v>
      </c>
      <c r="AH522" s="59">
        <f t="shared" si="2457"/>
        <v>0</v>
      </c>
      <c r="AI522" s="59">
        <f t="shared" si="2457"/>
        <v>0</v>
      </c>
      <c r="AJ522" s="59">
        <f t="shared" si="2457"/>
        <v>0</v>
      </c>
      <c r="AK522" s="59">
        <f t="shared" si="2457"/>
        <v>0</v>
      </c>
      <c r="AL522" s="59">
        <f t="shared" si="2457"/>
        <v>0</v>
      </c>
      <c r="AM522" s="59">
        <f t="shared" si="2457"/>
        <v>0</v>
      </c>
      <c r="AN522" s="59">
        <f t="shared" si="2457"/>
        <v>0</v>
      </c>
      <c r="AO522" s="59">
        <f t="shared" si="2457"/>
        <v>0</v>
      </c>
      <c r="AP522" s="59">
        <f t="shared" si="2457"/>
        <v>0</v>
      </c>
      <c r="AQ522" s="59">
        <f t="shared" si="2457"/>
        <v>0</v>
      </c>
      <c r="AR522" s="59">
        <f t="shared" si="2457"/>
        <v>0</v>
      </c>
      <c r="AS522" s="59">
        <f t="shared" si="2457"/>
        <v>0</v>
      </c>
      <c r="AT522" s="59">
        <f t="shared" si="2457"/>
        <v>0</v>
      </c>
      <c r="AU522" s="59">
        <f t="shared" si="2457"/>
        <v>0</v>
      </c>
      <c r="AV522" s="59">
        <f t="shared" si="2457"/>
        <v>0</v>
      </c>
      <c r="AW522" s="59">
        <f t="shared" si="2457"/>
        <v>0</v>
      </c>
      <c r="AX522" s="59">
        <f t="shared" si="2457"/>
        <v>0</v>
      </c>
      <c r="AY522" s="59">
        <f t="shared" si="2457"/>
        <v>0</v>
      </c>
      <c r="AZ522" s="59">
        <f t="shared" si="2457"/>
        <v>0</v>
      </c>
      <c r="BA522" s="59">
        <f t="shared" si="2457"/>
        <v>0</v>
      </c>
      <c r="BB522" s="59">
        <f t="shared" si="2457"/>
        <v>0</v>
      </c>
      <c r="BC522" s="59">
        <f t="shared" si="2457"/>
        <v>0</v>
      </c>
      <c r="BD522" s="59">
        <f t="shared" si="2457"/>
        <v>0</v>
      </c>
      <c r="BE522" s="59">
        <f t="shared" si="2457"/>
        <v>0</v>
      </c>
      <c r="BF522" s="59">
        <f t="shared" si="2457"/>
        <v>0</v>
      </c>
      <c r="BG522" s="59">
        <f t="shared" si="2457"/>
        <v>0</v>
      </c>
      <c r="BH522" s="59">
        <f t="shared" si="2457"/>
        <v>0</v>
      </c>
      <c r="BI522" s="59">
        <f t="shared" si="2457"/>
        <v>0</v>
      </c>
      <c r="BJ522" s="59">
        <f t="shared" si="2457"/>
        <v>0</v>
      </c>
      <c r="BK522" s="59">
        <f t="shared" si="2457"/>
        <v>0</v>
      </c>
      <c r="BL522" s="59">
        <f t="shared" si="2457"/>
        <v>0</v>
      </c>
      <c r="BM522" s="59">
        <f t="shared" si="2457"/>
        <v>0</v>
      </c>
      <c r="BN522" s="59">
        <f t="shared" si="2457"/>
        <v>0</v>
      </c>
      <c r="BO522" s="59">
        <f t="shared" si="2457"/>
        <v>0</v>
      </c>
      <c r="BP522" s="59">
        <f t="shared" si="2457"/>
        <v>0</v>
      </c>
      <c r="BQ522" s="59">
        <f t="shared" si="2457"/>
        <v>0</v>
      </c>
      <c r="BR522" s="59">
        <f t="shared" si="2457"/>
        <v>0</v>
      </c>
      <c r="BS522" s="59">
        <f t="shared" si="2457"/>
        <v>0</v>
      </c>
      <c r="BT522" s="59">
        <f t="shared" si="2457"/>
        <v>0</v>
      </c>
      <c r="BU522" s="59">
        <f t="shared" si="2457"/>
        <v>0</v>
      </c>
      <c r="BV522" s="59">
        <f t="shared" si="2457"/>
        <v>0</v>
      </c>
      <c r="BW522" s="59">
        <f t="shared" si="2457"/>
        <v>0</v>
      </c>
      <c r="BX522" s="1"/>
      <c r="BY522" s="1"/>
      <c r="BZ522" s="1"/>
      <c r="CA522" s="1"/>
      <c r="CB522" s="1"/>
      <c r="CC522" s="1"/>
      <c r="CD522" s="1"/>
      <c r="CE522" s="1"/>
      <c r="CF522" s="1"/>
      <c r="CG522" s="1"/>
    </row>
    <row r="523" spans="1:85" ht="15.75" customHeight="1">
      <c r="A523" s="84"/>
      <c r="B523" s="85"/>
      <c r="C523" s="86" t="s">
        <v>453</v>
      </c>
      <c r="D523" s="87" t="s">
        <v>446</v>
      </c>
      <c r="E523" s="70">
        <v>6000</v>
      </c>
      <c r="F523" s="71">
        <v>0</v>
      </c>
      <c r="G523" s="71">
        <f>E523-F523</f>
        <v>6000</v>
      </c>
      <c r="H523" s="70"/>
      <c r="I523" s="72">
        <f t="shared" si="2387"/>
        <v>0</v>
      </c>
      <c r="J523" s="72">
        <f t="shared" si="2388"/>
        <v>0</v>
      </c>
      <c r="K523" s="76"/>
      <c r="L523" s="74"/>
      <c r="M523" s="390"/>
      <c r="N523" s="391"/>
      <c r="O523" s="77">
        <f t="shared" ref="O523:Q523" si="2458">AA523+AD523+AG523+AJ523+AM523+AP523+AS523+AV523+AY523+BB523+BE523+BH523</f>
        <v>0</v>
      </c>
      <c r="P523" s="77">
        <f t="shared" si="2458"/>
        <v>0</v>
      </c>
      <c r="Q523" s="77">
        <f t="shared" si="2458"/>
        <v>0</v>
      </c>
      <c r="R523" s="77">
        <f t="shared" ref="R523:T523" si="2459">IF(BK523=0,SUM(AA523+AD523+AG523+AJ523+AM523+AP523+AS523+AV523+AY523+BB523+BE523+BH523),BK523)</f>
        <v>0</v>
      </c>
      <c r="S523" s="77">
        <f t="shared" si="2459"/>
        <v>0</v>
      </c>
      <c r="T523" s="77">
        <f t="shared" si="2459"/>
        <v>0</v>
      </c>
      <c r="U523" s="79">
        <f>K523-O523</f>
        <v>0</v>
      </c>
      <c r="V523" s="79">
        <f>L523-M523-S523</f>
        <v>0</v>
      </c>
      <c r="W523" s="79">
        <f>N523-Q523</f>
        <v>0</v>
      </c>
      <c r="X523" s="80">
        <f t="shared" ref="X523:Y523" si="2460">IF(O523&gt;0,O523/K523,0)</f>
        <v>0</v>
      </c>
      <c r="Y523" s="80">
        <f t="shared" si="2460"/>
        <v>0</v>
      </c>
      <c r="Z523" s="80">
        <f t="shared" si="2391"/>
        <v>0</v>
      </c>
      <c r="AA523" s="81"/>
      <c r="AB523" s="81"/>
      <c r="AC523" s="81"/>
      <c r="AD523" s="81"/>
      <c r="AE523" s="83"/>
      <c r="AF523" s="83"/>
      <c r="AG523" s="83"/>
      <c r="AH523" s="83"/>
      <c r="AI523" s="81"/>
      <c r="AJ523" s="81"/>
      <c r="AK523" s="81"/>
      <c r="AL523" s="81"/>
      <c r="AM523" s="81"/>
      <c r="AN523" s="81"/>
      <c r="AO523" s="81"/>
      <c r="AP523" s="81"/>
      <c r="AQ523" s="81"/>
      <c r="AR523" s="81"/>
      <c r="AS523" s="81"/>
      <c r="AT523" s="81"/>
      <c r="AU523" s="81"/>
      <c r="AV523" s="81"/>
      <c r="AW523" s="81"/>
      <c r="AX523" s="81"/>
      <c r="AY523" s="81"/>
      <c r="AZ523" s="81"/>
      <c r="BA523" s="81"/>
      <c r="BB523" s="81"/>
      <c r="BC523" s="81"/>
      <c r="BD523" s="81"/>
      <c r="BE523" s="81"/>
      <c r="BF523" s="81"/>
      <c r="BG523" s="81"/>
      <c r="BH523" s="81"/>
      <c r="BI523" s="81"/>
      <c r="BJ523" s="81"/>
      <c r="BK523" s="82">
        <v>0</v>
      </c>
      <c r="BL523" s="82">
        <v>0</v>
      </c>
      <c r="BM523" s="82">
        <v>0</v>
      </c>
      <c r="BN523" s="81">
        <f>IF(O523-BK523&gt;0,O523-BK523,0)</f>
        <v>0</v>
      </c>
      <c r="BO523" s="75">
        <f>IF(Q523-BM523&gt;0,Q523-BM523,0)</f>
        <v>0</v>
      </c>
      <c r="BP523" s="81">
        <f>IF(BN523+BO523&gt;0,BN523+BO523,0)</f>
        <v>0</v>
      </c>
      <c r="BQ523" s="81">
        <f>IF(U523=0,0,U523)</f>
        <v>0</v>
      </c>
      <c r="BR523" s="81">
        <f>IF(W523=0,0,W523)</f>
        <v>0</v>
      </c>
      <c r="BS523" s="81">
        <f>IF(BQ523+BR523&gt;0,BQ523+BR523,0)</f>
        <v>0</v>
      </c>
      <c r="BT523" s="81">
        <f>IF(V523&gt;0,V523,0)</f>
        <v>0</v>
      </c>
      <c r="BU523" s="81">
        <f>IF(BP523=0,0,BP523)</f>
        <v>0</v>
      </c>
      <c r="BV523" s="81">
        <f>IF(BS523=0,0,BS523)</f>
        <v>0</v>
      </c>
      <c r="BW523" s="81">
        <f>IF(BP523+BT523+BV523&gt;0,BP523+BT523+BV523,0)</f>
        <v>0</v>
      </c>
      <c r="BX523" s="1"/>
      <c r="BY523" s="1"/>
      <c r="BZ523" s="1"/>
      <c r="CA523" s="1"/>
      <c r="CB523" s="1"/>
      <c r="CC523" s="1"/>
      <c r="CD523" s="1"/>
      <c r="CE523" s="1"/>
      <c r="CF523" s="1"/>
      <c r="CG523" s="1"/>
    </row>
    <row r="524" spans="1:85" ht="15.75" customHeight="1">
      <c r="A524" s="270"/>
      <c r="B524" s="271"/>
      <c r="C524" s="272"/>
      <c r="D524" s="112" t="s">
        <v>344</v>
      </c>
      <c r="E524" s="58">
        <f t="shared" ref="E524:H524" si="2461">E525</f>
        <v>1532.98</v>
      </c>
      <c r="F524" s="59">
        <f t="shared" si="2461"/>
        <v>0</v>
      </c>
      <c r="G524" s="59">
        <f t="shared" si="2461"/>
        <v>1532.98</v>
      </c>
      <c r="H524" s="59">
        <f t="shared" si="2461"/>
        <v>0</v>
      </c>
      <c r="I524" s="60">
        <f t="shared" si="2387"/>
        <v>0</v>
      </c>
      <c r="J524" s="60">
        <f t="shared" si="2388"/>
        <v>0</v>
      </c>
      <c r="K524" s="59">
        <f t="shared" ref="K524:W524" si="2462">K525</f>
        <v>0</v>
      </c>
      <c r="L524" s="59">
        <f t="shared" si="2462"/>
        <v>0</v>
      </c>
      <c r="M524" s="59">
        <f t="shared" si="2462"/>
        <v>0</v>
      </c>
      <c r="N524" s="59">
        <f t="shared" si="2462"/>
        <v>0</v>
      </c>
      <c r="O524" s="59">
        <f t="shared" si="2462"/>
        <v>0</v>
      </c>
      <c r="P524" s="59">
        <f t="shared" si="2462"/>
        <v>0</v>
      </c>
      <c r="Q524" s="59">
        <f t="shared" si="2462"/>
        <v>0</v>
      </c>
      <c r="R524" s="59">
        <f t="shared" si="2462"/>
        <v>0</v>
      </c>
      <c r="S524" s="59">
        <f t="shared" si="2462"/>
        <v>0</v>
      </c>
      <c r="T524" s="59">
        <f t="shared" si="2462"/>
        <v>0</v>
      </c>
      <c r="U524" s="59">
        <f t="shared" si="2462"/>
        <v>0</v>
      </c>
      <c r="V524" s="59">
        <f t="shared" si="2462"/>
        <v>0</v>
      </c>
      <c r="W524" s="59">
        <f t="shared" si="2462"/>
        <v>0</v>
      </c>
      <c r="X524" s="63">
        <f t="shared" ref="X524:Y524" si="2463">IF(O524&gt;0,O524/K524,0)</f>
        <v>0</v>
      </c>
      <c r="Y524" s="63">
        <f t="shared" si="2463"/>
        <v>0</v>
      </c>
      <c r="Z524" s="63">
        <f t="shared" si="2391"/>
        <v>0</v>
      </c>
      <c r="AA524" s="59">
        <f t="shared" ref="AA524:BW524" si="2464">AA525</f>
        <v>0</v>
      </c>
      <c r="AB524" s="59">
        <f t="shared" si="2464"/>
        <v>0</v>
      </c>
      <c r="AC524" s="59">
        <f t="shared" si="2464"/>
        <v>0</v>
      </c>
      <c r="AD524" s="59">
        <f t="shared" si="2464"/>
        <v>0</v>
      </c>
      <c r="AE524" s="59">
        <f t="shared" si="2464"/>
        <v>0</v>
      </c>
      <c r="AF524" s="59">
        <f t="shared" si="2464"/>
        <v>0</v>
      </c>
      <c r="AG524" s="59">
        <f t="shared" si="2464"/>
        <v>0</v>
      </c>
      <c r="AH524" s="59">
        <f t="shared" si="2464"/>
        <v>0</v>
      </c>
      <c r="AI524" s="59">
        <f t="shared" si="2464"/>
        <v>0</v>
      </c>
      <c r="AJ524" s="59">
        <f t="shared" si="2464"/>
        <v>0</v>
      </c>
      <c r="AK524" s="59">
        <f t="shared" si="2464"/>
        <v>0</v>
      </c>
      <c r="AL524" s="59">
        <f t="shared" si="2464"/>
        <v>0</v>
      </c>
      <c r="AM524" s="59">
        <f t="shared" si="2464"/>
        <v>0</v>
      </c>
      <c r="AN524" s="59">
        <f t="shared" si="2464"/>
        <v>0</v>
      </c>
      <c r="AO524" s="59">
        <f t="shared" si="2464"/>
        <v>0</v>
      </c>
      <c r="AP524" s="59">
        <f t="shared" si="2464"/>
        <v>0</v>
      </c>
      <c r="AQ524" s="59">
        <f t="shared" si="2464"/>
        <v>0</v>
      </c>
      <c r="AR524" s="59">
        <f t="shared" si="2464"/>
        <v>0</v>
      </c>
      <c r="AS524" s="59">
        <f t="shared" si="2464"/>
        <v>0</v>
      </c>
      <c r="AT524" s="59">
        <f t="shared" si="2464"/>
        <v>0</v>
      </c>
      <c r="AU524" s="59">
        <f t="shared" si="2464"/>
        <v>0</v>
      </c>
      <c r="AV524" s="59">
        <f t="shared" si="2464"/>
        <v>0</v>
      </c>
      <c r="AW524" s="59">
        <f t="shared" si="2464"/>
        <v>0</v>
      </c>
      <c r="AX524" s="59">
        <f t="shared" si="2464"/>
        <v>0</v>
      </c>
      <c r="AY524" s="59">
        <f t="shared" si="2464"/>
        <v>0</v>
      </c>
      <c r="AZ524" s="59">
        <f t="shared" si="2464"/>
        <v>0</v>
      </c>
      <c r="BA524" s="59">
        <f t="shared" si="2464"/>
        <v>0</v>
      </c>
      <c r="BB524" s="59">
        <f t="shared" si="2464"/>
        <v>0</v>
      </c>
      <c r="BC524" s="59">
        <f t="shared" si="2464"/>
        <v>0</v>
      </c>
      <c r="BD524" s="59">
        <f t="shared" si="2464"/>
        <v>0</v>
      </c>
      <c r="BE524" s="59">
        <f t="shared" si="2464"/>
        <v>0</v>
      </c>
      <c r="BF524" s="59">
        <f t="shared" si="2464"/>
        <v>0</v>
      </c>
      <c r="BG524" s="59">
        <f t="shared" si="2464"/>
        <v>0</v>
      </c>
      <c r="BH524" s="59">
        <f t="shared" si="2464"/>
        <v>0</v>
      </c>
      <c r="BI524" s="59">
        <f t="shared" si="2464"/>
        <v>0</v>
      </c>
      <c r="BJ524" s="59">
        <f t="shared" si="2464"/>
        <v>0</v>
      </c>
      <c r="BK524" s="59">
        <f t="shared" si="2464"/>
        <v>0</v>
      </c>
      <c r="BL524" s="59">
        <f t="shared" si="2464"/>
        <v>0</v>
      </c>
      <c r="BM524" s="59">
        <f t="shared" si="2464"/>
        <v>0</v>
      </c>
      <c r="BN524" s="59">
        <f t="shared" si="2464"/>
        <v>0</v>
      </c>
      <c r="BO524" s="59">
        <f t="shared" si="2464"/>
        <v>0</v>
      </c>
      <c r="BP524" s="59">
        <f t="shared" si="2464"/>
        <v>0</v>
      </c>
      <c r="BQ524" s="59">
        <f t="shared" si="2464"/>
        <v>0</v>
      </c>
      <c r="BR524" s="59">
        <f t="shared" si="2464"/>
        <v>0</v>
      </c>
      <c r="BS524" s="59">
        <f t="shared" si="2464"/>
        <v>0</v>
      </c>
      <c r="BT524" s="59">
        <f t="shared" si="2464"/>
        <v>0</v>
      </c>
      <c r="BU524" s="59">
        <f t="shared" si="2464"/>
        <v>0</v>
      </c>
      <c r="BV524" s="59">
        <f t="shared" si="2464"/>
        <v>0</v>
      </c>
      <c r="BW524" s="59">
        <f t="shared" si="2464"/>
        <v>0</v>
      </c>
      <c r="BX524" s="1"/>
      <c r="BY524" s="1"/>
      <c r="BZ524" s="1"/>
      <c r="CA524" s="1"/>
      <c r="CB524" s="1"/>
      <c r="CC524" s="1"/>
      <c r="CD524" s="1"/>
      <c r="CE524" s="1"/>
      <c r="CF524" s="1"/>
      <c r="CG524" s="1"/>
    </row>
    <row r="525" spans="1:85" ht="15.75" customHeight="1">
      <c r="A525" s="108"/>
      <c r="B525" s="90"/>
      <c r="C525" s="91" t="s">
        <v>455</v>
      </c>
      <c r="D525" s="92" t="s">
        <v>456</v>
      </c>
      <c r="E525" s="70">
        <v>1532.98</v>
      </c>
      <c r="F525" s="71">
        <v>0</v>
      </c>
      <c r="G525" s="71">
        <f>E525-F525</f>
        <v>1532.98</v>
      </c>
      <c r="H525" s="70"/>
      <c r="I525" s="72">
        <f t="shared" si="2387"/>
        <v>0</v>
      </c>
      <c r="J525" s="72">
        <f t="shared" si="2388"/>
        <v>0</v>
      </c>
      <c r="K525" s="76"/>
      <c r="L525" s="74"/>
      <c r="M525" s="75"/>
      <c r="N525" s="76"/>
      <c r="O525" s="77">
        <f t="shared" ref="O525:Q525" si="2465">AA525+AD525+AG525+AJ525+AM525+AP525+AS525+AV525+AY525+BB525+BE525+BH525</f>
        <v>0</v>
      </c>
      <c r="P525" s="77">
        <f t="shared" si="2465"/>
        <v>0</v>
      </c>
      <c r="Q525" s="77">
        <f t="shared" si="2465"/>
        <v>0</v>
      </c>
      <c r="R525" s="77">
        <f t="shared" ref="R525:T525" si="2466">IF(BK525=0,SUM(AA525+AD525+AG525+AJ525+AM525+AP525+AS525+AV525+AY525+BB525+BE525+BH525),BK525)</f>
        <v>0</v>
      </c>
      <c r="S525" s="77">
        <f t="shared" si="2466"/>
        <v>0</v>
      </c>
      <c r="T525" s="77">
        <f t="shared" si="2466"/>
        <v>0</v>
      </c>
      <c r="U525" s="79">
        <f>K525-O525</f>
        <v>0</v>
      </c>
      <c r="V525" s="79">
        <f>L525-M525-S525</f>
        <v>0</v>
      </c>
      <c r="W525" s="79">
        <f>N525-Q525</f>
        <v>0</v>
      </c>
      <c r="X525" s="80">
        <f t="shared" ref="X525:Y525" si="2467">IF(O525&gt;0,O525/K525,0)</f>
        <v>0</v>
      </c>
      <c r="Y525" s="80">
        <f t="shared" si="2467"/>
        <v>0</v>
      </c>
      <c r="Z525" s="80">
        <f t="shared" si="2391"/>
        <v>0</v>
      </c>
      <c r="AA525" s="81"/>
      <c r="AB525" s="81"/>
      <c r="AC525" s="81"/>
      <c r="AD525" s="81"/>
      <c r="AE525" s="83"/>
      <c r="AF525" s="83"/>
      <c r="AG525" s="83"/>
      <c r="AH525" s="83"/>
      <c r="AI525" s="81"/>
      <c r="AJ525" s="81"/>
      <c r="AK525" s="81"/>
      <c r="AL525" s="81"/>
      <c r="AM525" s="81"/>
      <c r="AN525" s="81"/>
      <c r="AO525" s="81"/>
      <c r="AP525" s="81"/>
      <c r="AQ525" s="81"/>
      <c r="AR525" s="81"/>
      <c r="AS525" s="81"/>
      <c r="AT525" s="81"/>
      <c r="AU525" s="81"/>
      <c r="AV525" s="81"/>
      <c r="AW525" s="81"/>
      <c r="AX525" s="81"/>
      <c r="AY525" s="81"/>
      <c r="AZ525" s="81"/>
      <c r="BA525" s="81"/>
      <c r="BB525" s="81"/>
      <c r="BC525" s="81"/>
      <c r="BD525" s="81"/>
      <c r="BE525" s="81"/>
      <c r="BF525" s="81"/>
      <c r="BG525" s="81"/>
      <c r="BH525" s="81"/>
      <c r="BI525" s="81"/>
      <c r="BJ525" s="81"/>
      <c r="BK525" s="82">
        <v>0</v>
      </c>
      <c r="BL525" s="82">
        <v>0</v>
      </c>
      <c r="BM525" s="82">
        <v>0</v>
      </c>
      <c r="BN525" s="81">
        <f>IF(O525-BK525&gt;0,O525-BK525,0)</f>
        <v>0</v>
      </c>
      <c r="BO525" s="75">
        <f>IF(Q525-BM525&gt;0,Q525-BM525,0)</f>
        <v>0</v>
      </c>
      <c r="BP525" s="81">
        <f>IF(BN525+BO525&gt;0,BN525+BO525,0)</f>
        <v>0</v>
      </c>
      <c r="BQ525" s="81">
        <f>IF(U525=0,0,U525)</f>
        <v>0</v>
      </c>
      <c r="BR525" s="81">
        <f>IF(W525=0,0,W525)</f>
        <v>0</v>
      </c>
      <c r="BS525" s="81">
        <f>IF(BQ525+BR525&gt;0,BQ525+BR525,0)</f>
        <v>0</v>
      </c>
      <c r="BT525" s="81">
        <f>IF(V525&gt;0,V525,0)</f>
        <v>0</v>
      </c>
      <c r="BU525" s="81">
        <f>IF(BP525=0,0,BP525)</f>
        <v>0</v>
      </c>
      <c r="BV525" s="81">
        <f>IF(BS525=0,0,BS525)</f>
        <v>0</v>
      </c>
      <c r="BW525" s="81">
        <f>IF(BP525+BT525+BV525&gt;0,BP525+BT525+BV525,0)</f>
        <v>0</v>
      </c>
      <c r="BX525" s="1"/>
      <c r="BY525" s="1"/>
      <c r="BZ525" s="1"/>
      <c r="CA525" s="1"/>
      <c r="CB525" s="1"/>
      <c r="CC525" s="1"/>
      <c r="CD525" s="1"/>
      <c r="CE525" s="1"/>
      <c r="CF525" s="1"/>
      <c r="CG525" s="1"/>
    </row>
    <row r="526" spans="1:85" ht="15.75" customHeight="1">
      <c r="A526" s="397"/>
      <c r="B526" s="354"/>
      <c r="C526" s="328"/>
      <c r="D526" s="329" t="s">
        <v>833</v>
      </c>
      <c r="E526" s="330">
        <f t="shared" ref="E526:H526" si="2468">E527+E533+E535</f>
        <v>81500</v>
      </c>
      <c r="F526" s="330">
        <f t="shared" si="2468"/>
        <v>0</v>
      </c>
      <c r="G526" s="330">
        <f t="shared" si="2468"/>
        <v>81500</v>
      </c>
      <c r="H526" s="330">
        <f t="shared" si="2468"/>
        <v>0</v>
      </c>
      <c r="I526" s="331">
        <f t="shared" si="2387"/>
        <v>4.376944785276074E-2</v>
      </c>
      <c r="J526" s="331">
        <f t="shared" si="2388"/>
        <v>4.376944785276074E-2</v>
      </c>
      <c r="K526" s="330">
        <f t="shared" ref="K526:W526" si="2469">K527+K533+K535</f>
        <v>3567.21</v>
      </c>
      <c r="L526" s="330">
        <f t="shared" si="2469"/>
        <v>0</v>
      </c>
      <c r="M526" s="330">
        <f t="shared" si="2469"/>
        <v>0</v>
      </c>
      <c r="N526" s="330">
        <f t="shared" si="2469"/>
        <v>0</v>
      </c>
      <c r="O526" s="330">
        <f t="shared" si="2469"/>
        <v>3567.21</v>
      </c>
      <c r="P526" s="330">
        <f t="shared" si="2469"/>
        <v>0</v>
      </c>
      <c r="Q526" s="330">
        <f t="shared" si="2469"/>
        <v>0</v>
      </c>
      <c r="R526" s="330">
        <f t="shared" si="2469"/>
        <v>3567.21</v>
      </c>
      <c r="S526" s="330">
        <f t="shared" si="2469"/>
        <v>0</v>
      </c>
      <c r="T526" s="330">
        <f t="shared" si="2469"/>
        <v>0</v>
      </c>
      <c r="U526" s="330">
        <f t="shared" si="2469"/>
        <v>0</v>
      </c>
      <c r="V526" s="330">
        <f t="shared" si="2469"/>
        <v>0</v>
      </c>
      <c r="W526" s="330">
        <f t="shared" si="2469"/>
        <v>0</v>
      </c>
      <c r="X526" s="332">
        <f t="shared" ref="X526:Y526" si="2470">IF(O526&gt;0,O526/K526,0)</f>
        <v>1</v>
      </c>
      <c r="Y526" s="332">
        <f t="shared" si="2470"/>
        <v>0</v>
      </c>
      <c r="Z526" s="332">
        <f t="shared" si="2391"/>
        <v>0</v>
      </c>
      <c r="AA526" s="330">
        <f t="shared" ref="AA526:BW526" si="2471">AA527+AA533+AA535</f>
        <v>0</v>
      </c>
      <c r="AB526" s="330">
        <f t="shared" si="2471"/>
        <v>0</v>
      </c>
      <c r="AC526" s="330">
        <f t="shared" si="2471"/>
        <v>0</v>
      </c>
      <c r="AD526" s="330">
        <f t="shared" si="2471"/>
        <v>0</v>
      </c>
      <c r="AE526" s="330">
        <f t="shared" si="2471"/>
        <v>0</v>
      </c>
      <c r="AF526" s="330">
        <f t="shared" si="2471"/>
        <v>0</v>
      </c>
      <c r="AG526" s="330">
        <f t="shared" si="2471"/>
        <v>0</v>
      </c>
      <c r="AH526" s="330">
        <f t="shared" si="2471"/>
        <v>0</v>
      </c>
      <c r="AI526" s="330">
        <f t="shared" si="2471"/>
        <v>0</v>
      </c>
      <c r="AJ526" s="330">
        <f t="shared" si="2471"/>
        <v>0</v>
      </c>
      <c r="AK526" s="330">
        <f t="shared" si="2471"/>
        <v>0</v>
      </c>
      <c r="AL526" s="330">
        <f t="shared" si="2471"/>
        <v>0</v>
      </c>
      <c r="AM526" s="330">
        <f t="shared" si="2471"/>
        <v>67.680000000000007</v>
      </c>
      <c r="AN526" s="330">
        <f t="shared" si="2471"/>
        <v>0</v>
      </c>
      <c r="AO526" s="330">
        <f t="shared" si="2471"/>
        <v>0</v>
      </c>
      <c r="AP526" s="330">
        <f t="shared" si="2471"/>
        <v>0</v>
      </c>
      <c r="AQ526" s="330">
        <f t="shared" si="2471"/>
        <v>0</v>
      </c>
      <c r="AR526" s="330">
        <f t="shared" si="2471"/>
        <v>0</v>
      </c>
      <c r="AS526" s="330">
        <f t="shared" si="2471"/>
        <v>1706.03</v>
      </c>
      <c r="AT526" s="330">
        <f t="shared" si="2471"/>
        <v>0</v>
      </c>
      <c r="AU526" s="330">
        <f t="shared" si="2471"/>
        <v>0</v>
      </c>
      <c r="AV526" s="330">
        <f t="shared" si="2471"/>
        <v>0</v>
      </c>
      <c r="AW526" s="330">
        <f t="shared" si="2471"/>
        <v>0</v>
      </c>
      <c r="AX526" s="330">
        <f t="shared" si="2471"/>
        <v>0</v>
      </c>
      <c r="AY526" s="330">
        <f t="shared" si="2471"/>
        <v>150.30000000000001</v>
      </c>
      <c r="AZ526" s="330">
        <f t="shared" si="2471"/>
        <v>0</v>
      </c>
      <c r="BA526" s="330">
        <f t="shared" si="2471"/>
        <v>0</v>
      </c>
      <c r="BB526" s="330">
        <f t="shared" si="2471"/>
        <v>224.39</v>
      </c>
      <c r="BC526" s="330">
        <f t="shared" si="2471"/>
        <v>0</v>
      </c>
      <c r="BD526" s="330">
        <f t="shared" si="2471"/>
        <v>0</v>
      </c>
      <c r="BE526" s="330">
        <f t="shared" si="2471"/>
        <v>1418.81</v>
      </c>
      <c r="BF526" s="330">
        <f t="shared" si="2471"/>
        <v>0</v>
      </c>
      <c r="BG526" s="330">
        <f t="shared" si="2471"/>
        <v>0</v>
      </c>
      <c r="BH526" s="330">
        <f t="shared" si="2471"/>
        <v>0</v>
      </c>
      <c r="BI526" s="330">
        <f t="shared" si="2471"/>
        <v>0</v>
      </c>
      <c r="BJ526" s="330">
        <f t="shared" si="2471"/>
        <v>0</v>
      </c>
      <c r="BK526" s="330">
        <f t="shared" si="2471"/>
        <v>3567.21</v>
      </c>
      <c r="BL526" s="330">
        <f t="shared" si="2471"/>
        <v>0</v>
      </c>
      <c r="BM526" s="330">
        <f t="shared" si="2471"/>
        <v>0</v>
      </c>
      <c r="BN526" s="330">
        <f t="shared" si="2471"/>
        <v>0</v>
      </c>
      <c r="BO526" s="330">
        <f t="shared" si="2471"/>
        <v>0</v>
      </c>
      <c r="BP526" s="330">
        <f t="shared" si="2471"/>
        <v>0</v>
      </c>
      <c r="BQ526" s="330">
        <f t="shared" si="2471"/>
        <v>0</v>
      </c>
      <c r="BR526" s="330">
        <f t="shared" si="2471"/>
        <v>0</v>
      </c>
      <c r="BS526" s="330">
        <f t="shared" si="2471"/>
        <v>0</v>
      </c>
      <c r="BT526" s="330">
        <f t="shared" si="2471"/>
        <v>0</v>
      </c>
      <c r="BU526" s="330">
        <f t="shared" si="2471"/>
        <v>0</v>
      </c>
      <c r="BV526" s="330">
        <f t="shared" si="2471"/>
        <v>0</v>
      </c>
      <c r="BW526" s="330">
        <f t="shared" si="2471"/>
        <v>0</v>
      </c>
      <c r="BX526" s="1"/>
      <c r="BY526" s="1"/>
      <c r="BZ526" s="1"/>
      <c r="CA526" s="1"/>
      <c r="CB526" s="1"/>
      <c r="CC526" s="1"/>
      <c r="CD526" s="1"/>
      <c r="CE526" s="1"/>
      <c r="CF526" s="1"/>
      <c r="CG526" s="1"/>
    </row>
    <row r="527" spans="1:85" ht="15.75">
      <c r="A527" s="355"/>
      <c r="B527" s="356"/>
      <c r="C527" s="357"/>
      <c r="D527" s="57" t="s">
        <v>116</v>
      </c>
      <c r="E527" s="286">
        <f t="shared" ref="E527:H527" si="2472">SUM(E528:E532)</f>
        <v>16500</v>
      </c>
      <c r="F527" s="286">
        <f t="shared" si="2472"/>
        <v>0</v>
      </c>
      <c r="G527" s="286">
        <f t="shared" si="2472"/>
        <v>16500</v>
      </c>
      <c r="H527" s="286">
        <f t="shared" si="2472"/>
        <v>0</v>
      </c>
      <c r="I527" s="287">
        <f t="shared" si="2387"/>
        <v>0.21619454545454544</v>
      </c>
      <c r="J527" s="287">
        <f t="shared" si="2388"/>
        <v>0.21619454545454544</v>
      </c>
      <c r="K527" s="286">
        <f t="shared" ref="K527:W527" si="2473">SUM(K528:K532)</f>
        <v>3567.21</v>
      </c>
      <c r="L527" s="286">
        <f t="shared" si="2473"/>
        <v>0</v>
      </c>
      <c r="M527" s="286">
        <f t="shared" si="2473"/>
        <v>0</v>
      </c>
      <c r="N527" s="286">
        <f t="shared" si="2473"/>
        <v>0</v>
      </c>
      <c r="O527" s="286">
        <f t="shared" si="2473"/>
        <v>3567.21</v>
      </c>
      <c r="P527" s="286">
        <f t="shared" si="2473"/>
        <v>0</v>
      </c>
      <c r="Q527" s="286">
        <f t="shared" si="2473"/>
        <v>0</v>
      </c>
      <c r="R527" s="286">
        <f t="shared" si="2473"/>
        <v>3567.21</v>
      </c>
      <c r="S527" s="286">
        <f t="shared" si="2473"/>
        <v>0</v>
      </c>
      <c r="T527" s="286">
        <f t="shared" si="2473"/>
        <v>0</v>
      </c>
      <c r="U527" s="286">
        <f t="shared" si="2473"/>
        <v>0</v>
      </c>
      <c r="V527" s="286">
        <f t="shared" si="2473"/>
        <v>0</v>
      </c>
      <c r="W527" s="286">
        <f t="shared" si="2473"/>
        <v>0</v>
      </c>
      <c r="X527" s="288">
        <f t="shared" ref="X527:Y527" si="2474">IF(O527&gt;0,O527/K527,0)</f>
        <v>1</v>
      </c>
      <c r="Y527" s="288">
        <f t="shared" si="2474"/>
        <v>0</v>
      </c>
      <c r="Z527" s="288">
        <f t="shared" si="2391"/>
        <v>0</v>
      </c>
      <c r="AA527" s="286">
        <f t="shared" ref="AA527:BW527" si="2475">SUM(AA528:AA532)</f>
        <v>0</v>
      </c>
      <c r="AB527" s="286">
        <f t="shared" si="2475"/>
        <v>0</v>
      </c>
      <c r="AC527" s="286">
        <f t="shared" si="2475"/>
        <v>0</v>
      </c>
      <c r="AD527" s="286">
        <f t="shared" si="2475"/>
        <v>0</v>
      </c>
      <c r="AE527" s="286">
        <f t="shared" si="2475"/>
        <v>0</v>
      </c>
      <c r="AF527" s="286">
        <f t="shared" si="2475"/>
        <v>0</v>
      </c>
      <c r="AG527" s="286">
        <f t="shared" si="2475"/>
        <v>0</v>
      </c>
      <c r="AH527" s="286">
        <f t="shared" si="2475"/>
        <v>0</v>
      </c>
      <c r="AI527" s="286">
        <f t="shared" si="2475"/>
        <v>0</v>
      </c>
      <c r="AJ527" s="286">
        <f t="shared" si="2475"/>
        <v>0</v>
      </c>
      <c r="AK527" s="286">
        <f t="shared" si="2475"/>
        <v>0</v>
      </c>
      <c r="AL527" s="286">
        <f t="shared" si="2475"/>
        <v>0</v>
      </c>
      <c r="AM527" s="286">
        <f t="shared" si="2475"/>
        <v>67.680000000000007</v>
      </c>
      <c r="AN527" s="286">
        <f t="shared" si="2475"/>
        <v>0</v>
      </c>
      <c r="AO527" s="286">
        <f t="shared" si="2475"/>
        <v>0</v>
      </c>
      <c r="AP527" s="286">
        <f t="shared" si="2475"/>
        <v>0</v>
      </c>
      <c r="AQ527" s="286">
        <f t="shared" si="2475"/>
        <v>0</v>
      </c>
      <c r="AR527" s="286">
        <f t="shared" si="2475"/>
        <v>0</v>
      </c>
      <c r="AS527" s="286">
        <f t="shared" si="2475"/>
        <v>1706.03</v>
      </c>
      <c r="AT527" s="286">
        <f t="shared" si="2475"/>
        <v>0</v>
      </c>
      <c r="AU527" s="286">
        <f t="shared" si="2475"/>
        <v>0</v>
      </c>
      <c r="AV527" s="286">
        <f t="shared" si="2475"/>
        <v>0</v>
      </c>
      <c r="AW527" s="286">
        <f t="shared" si="2475"/>
        <v>0</v>
      </c>
      <c r="AX527" s="286">
        <f t="shared" si="2475"/>
        <v>0</v>
      </c>
      <c r="AY527" s="286">
        <f t="shared" si="2475"/>
        <v>150.30000000000001</v>
      </c>
      <c r="AZ527" s="286">
        <f t="shared" si="2475"/>
        <v>0</v>
      </c>
      <c r="BA527" s="286">
        <f t="shared" si="2475"/>
        <v>0</v>
      </c>
      <c r="BB527" s="286">
        <f t="shared" si="2475"/>
        <v>224.39</v>
      </c>
      <c r="BC527" s="286">
        <f t="shared" si="2475"/>
        <v>0</v>
      </c>
      <c r="BD527" s="286">
        <f t="shared" si="2475"/>
        <v>0</v>
      </c>
      <c r="BE527" s="286">
        <f t="shared" si="2475"/>
        <v>1418.81</v>
      </c>
      <c r="BF527" s="286">
        <f t="shared" si="2475"/>
        <v>0</v>
      </c>
      <c r="BG527" s="286">
        <f t="shared" si="2475"/>
        <v>0</v>
      </c>
      <c r="BH527" s="286">
        <f t="shared" si="2475"/>
        <v>0</v>
      </c>
      <c r="BI527" s="286">
        <f t="shared" si="2475"/>
        <v>0</v>
      </c>
      <c r="BJ527" s="286">
        <f t="shared" si="2475"/>
        <v>0</v>
      </c>
      <c r="BK527" s="286">
        <f t="shared" si="2475"/>
        <v>3567.21</v>
      </c>
      <c r="BL527" s="286">
        <f t="shared" si="2475"/>
        <v>0</v>
      </c>
      <c r="BM527" s="286">
        <f t="shared" si="2475"/>
        <v>0</v>
      </c>
      <c r="BN527" s="286">
        <f t="shared" si="2475"/>
        <v>0</v>
      </c>
      <c r="BO527" s="286">
        <f t="shared" si="2475"/>
        <v>0</v>
      </c>
      <c r="BP527" s="286">
        <f t="shared" si="2475"/>
        <v>0</v>
      </c>
      <c r="BQ527" s="286">
        <f t="shared" si="2475"/>
        <v>0</v>
      </c>
      <c r="BR527" s="286">
        <f t="shared" si="2475"/>
        <v>0</v>
      </c>
      <c r="BS527" s="286">
        <f t="shared" si="2475"/>
        <v>0</v>
      </c>
      <c r="BT527" s="286">
        <f t="shared" si="2475"/>
        <v>0</v>
      </c>
      <c r="BU527" s="286">
        <f t="shared" si="2475"/>
        <v>0</v>
      </c>
      <c r="BV527" s="286">
        <f t="shared" si="2475"/>
        <v>0</v>
      </c>
      <c r="BW527" s="286">
        <f t="shared" si="2475"/>
        <v>0</v>
      </c>
      <c r="BX527" s="1"/>
      <c r="BY527" s="1"/>
      <c r="BZ527" s="1"/>
      <c r="CA527" s="1"/>
      <c r="CB527" s="1"/>
      <c r="CC527" s="1"/>
      <c r="CD527" s="1"/>
      <c r="CE527" s="1"/>
      <c r="CF527" s="1"/>
      <c r="CG527" s="1"/>
    </row>
    <row r="528" spans="1:85" ht="15.75" customHeight="1">
      <c r="A528" s="66" t="s">
        <v>834</v>
      </c>
      <c r="B528" s="114"/>
      <c r="C528" s="68" t="s">
        <v>118</v>
      </c>
      <c r="D528" s="69" t="s">
        <v>835</v>
      </c>
      <c r="E528" s="70">
        <v>4000</v>
      </c>
      <c r="F528" s="71"/>
      <c r="G528" s="71">
        <f t="shared" ref="G528:G532" si="2476">E528-F528</f>
        <v>4000</v>
      </c>
      <c r="H528" s="70"/>
      <c r="I528" s="72">
        <f t="shared" si="2387"/>
        <v>0.89180250000000005</v>
      </c>
      <c r="J528" s="72">
        <f t="shared" si="2388"/>
        <v>0.89180250000000005</v>
      </c>
      <c r="K528" s="94">
        <f>1000+1000+1000+567.21+500-500</f>
        <v>3567.21</v>
      </c>
      <c r="L528" s="74"/>
      <c r="M528" s="75"/>
      <c r="N528" s="76"/>
      <c r="O528" s="77">
        <f t="shared" ref="O528:Q528" si="2477">AA528+AD528+AG528+AJ528+AM528+AP528+AS528+AV528+AY528+BB528+BE528+BH528</f>
        <v>3567.21</v>
      </c>
      <c r="P528" s="77">
        <f t="shared" si="2477"/>
        <v>0</v>
      </c>
      <c r="Q528" s="77">
        <f t="shared" si="2477"/>
        <v>0</v>
      </c>
      <c r="R528" s="77">
        <f t="shared" ref="R528:T528" si="2478">IF(BK528=0,SUM(AA528+AD528+AG528+AJ528+AM528+AP528+AS528+AV528+AY528+BB528+BE528+BH528),BK528)</f>
        <v>3567.21</v>
      </c>
      <c r="S528" s="77">
        <f t="shared" si="2478"/>
        <v>0</v>
      </c>
      <c r="T528" s="77">
        <f t="shared" si="2478"/>
        <v>0</v>
      </c>
      <c r="U528" s="78">
        <f t="shared" ref="U528:U532" si="2479">K528-O528</f>
        <v>0</v>
      </c>
      <c r="V528" s="79">
        <f t="shared" ref="V528:V532" si="2480">L528-M528-S528</f>
        <v>0</v>
      </c>
      <c r="W528" s="79">
        <f t="shared" ref="W528:W532" si="2481">N528-Q528</f>
        <v>0</v>
      </c>
      <c r="X528" s="80">
        <f t="shared" ref="X528:Y528" si="2482">IF(O528&gt;0,O528/K528,0)</f>
        <v>1</v>
      </c>
      <c r="Y528" s="80">
        <f t="shared" si="2482"/>
        <v>0</v>
      </c>
      <c r="Z528" s="80">
        <f t="shared" si="2391"/>
        <v>0</v>
      </c>
      <c r="AA528" s="81"/>
      <c r="AB528" s="81"/>
      <c r="AC528" s="81"/>
      <c r="AD528" s="81"/>
      <c r="AE528" s="83"/>
      <c r="AF528" s="83"/>
      <c r="AG528" s="83"/>
      <c r="AH528" s="83"/>
      <c r="AI528" s="81"/>
      <c r="AJ528" s="81"/>
      <c r="AK528" s="81"/>
      <c r="AL528" s="81"/>
      <c r="AM528" s="82">
        <v>67.680000000000007</v>
      </c>
      <c r="AN528" s="81"/>
      <c r="AO528" s="81"/>
      <c r="AP528" s="81"/>
      <c r="AQ528" s="81"/>
      <c r="AR528" s="81"/>
      <c r="AS528" s="82">
        <v>1706.03</v>
      </c>
      <c r="AT528" s="81"/>
      <c r="AU528" s="81"/>
      <c r="AV528" s="81"/>
      <c r="AW528" s="81"/>
      <c r="AX528" s="81"/>
      <c r="AY528" s="82">
        <v>150.30000000000001</v>
      </c>
      <c r="AZ528" s="81"/>
      <c r="BA528" s="81"/>
      <c r="BB528" s="81">
        <f>129.63+94.76</f>
        <v>224.39</v>
      </c>
      <c r="BC528" s="81"/>
      <c r="BD528" s="81"/>
      <c r="BE528" s="82">
        <v>1418.81</v>
      </c>
      <c r="BF528" s="81"/>
      <c r="BG528" s="81"/>
      <c r="BH528" s="81"/>
      <c r="BI528" s="81"/>
      <c r="BJ528" s="81"/>
      <c r="BK528" s="82">
        <v>3567.21</v>
      </c>
      <c r="BL528" s="82">
        <v>0</v>
      </c>
      <c r="BM528" s="82">
        <v>0</v>
      </c>
      <c r="BN528" s="81">
        <f t="shared" ref="BN528:BN532" si="2483">IF(O528-BK528&gt;0,O528-BK528,0)</f>
        <v>0</v>
      </c>
      <c r="BO528" s="75">
        <f t="shared" ref="BO528:BO532" si="2484">IF(Q528-BM528&gt;0,Q528-BM528,0)</f>
        <v>0</v>
      </c>
      <c r="BP528" s="81">
        <f t="shared" ref="BP528:BP532" si="2485">IF(BN528+BO528&gt;0,BN528+BO528,0)</f>
        <v>0</v>
      </c>
      <c r="BQ528" s="81">
        <f t="shared" ref="BQ528:BQ532" si="2486">IF(U528=0,0,U528)</f>
        <v>0</v>
      </c>
      <c r="BR528" s="81">
        <f t="shared" ref="BR528:BR532" si="2487">IF(W528=0,0,W528)</f>
        <v>0</v>
      </c>
      <c r="BS528" s="81">
        <f t="shared" ref="BS528:BS532" si="2488">IF(BQ528+BR528&gt;0,BQ528+BR528,0)</f>
        <v>0</v>
      </c>
      <c r="BT528" s="81">
        <f t="shared" ref="BT528:BT532" si="2489">IF(V528&gt;0,V528,0)</f>
        <v>0</v>
      </c>
      <c r="BU528" s="81">
        <f t="shared" ref="BU528:BU532" si="2490">IF(BP528=0,0,BP528)</f>
        <v>0</v>
      </c>
      <c r="BV528" s="81">
        <f t="shared" ref="BV528:BV532" si="2491">IF(BS528=0,0,BS528)</f>
        <v>0</v>
      </c>
      <c r="BW528" s="81">
        <f t="shared" ref="BW528:BW532" si="2492">IF(BP528+BT528+BV528&gt;0,BP528+BT528+BV528,0)</f>
        <v>0</v>
      </c>
      <c r="BX528" s="1"/>
      <c r="BY528" s="1"/>
      <c r="BZ528" s="1"/>
      <c r="CA528" s="1"/>
      <c r="CB528" s="1"/>
      <c r="CC528" s="1"/>
      <c r="CD528" s="1"/>
      <c r="CE528" s="1"/>
      <c r="CF528" s="1"/>
      <c r="CG528" s="1"/>
    </row>
    <row r="529" spans="1:85" ht="15.75" customHeight="1">
      <c r="A529" s="84"/>
      <c r="B529" s="115"/>
      <c r="C529" s="86" t="s">
        <v>118</v>
      </c>
      <c r="D529" s="87" t="s">
        <v>836</v>
      </c>
      <c r="E529" s="70">
        <v>1000</v>
      </c>
      <c r="F529" s="71"/>
      <c r="G529" s="71">
        <f t="shared" si="2476"/>
        <v>1000</v>
      </c>
      <c r="H529" s="70"/>
      <c r="I529" s="72">
        <f t="shared" si="2387"/>
        <v>0</v>
      </c>
      <c r="J529" s="72">
        <f t="shared" si="2388"/>
        <v>0</v>
      </c>
      <c r="K529" s="76"/>
      <c r="L529" s="74"/>
      <c r="M529" s="75"/>
      <c r="N529" s="76"/>
      <c r="O529" s="77">
        <f t="shared" ref="O529:Q529" si="2493">AA529+AD529+AG529+AJ529+AM529+AP529+AS529+AV529+AY529+BB529+BE529+BH529</f>
        <v>0</v>
      </c>
      <c r="P529" s="77">
        <f t="shared" si="2493"/>
        <v>0</v>
      </c>
      <c r="Q529" s="77">
        <f t="shared" si="2493"/>
        <v>0</v>
      </c>
      <c r="R529" s="77">
        <f t="shared" ref="R529:T529" si="2494">IF(BK529=0,SUM(AA529+AD529+AG529+AJ529+AM529+AP529+AS529+AV529+AY529+BB529+BE529+BH529),BK529)</f>
        <v>0</v>
      </c>
      <c r="S529" s="77">
        <f t="shared" si="2494"/>
        <v>0</v>
      </c>
      <c r="T529" s="77">
        <f t="shared" si="2494"/>
        <v>0</v>
      </c>
      <c r="U529" s="79">
        <f t="shared" si="2479"/>
        <v>0</v>
      </c>
      <c r="V529" s="79">
        <f t="shared" si="2480"/>
        <v>0</v>
      </c>
      <c r="W529" s="79">
        <f t="shared" si="2481"/>
        <v>0</v>
      </c>
      <c r="X529" s="80">
        <f t="shared" ref="X529:Y529" si="2495">IF(O529&gt;0,O529/K529,0)</f>
        <v>0</v>
      </c>
      <c r="Y529" s="80">
        <f t="shared" si="2495"/>
        <v>0</v>
      </c>
      <c r="Z529" s="80">
        <f t="shared" si="2391"/>
        <v>0</v>
      </c>
      <c r="AA529" s="81"/>
      <c r="AB529" s="81"/>
      <c r="AC529" s="81"/>
      <c r="AD529" s="81"/>
      <c r="AE529" s="83"/>
      <c r="AF529" s="83"/>
      <c r="AG529" s="83"/>
      <c r="AH529" s="83"/>
      <c r="AI529" s="81"/>
      <c r="AJ529" s="81"/>
      <c r="AK529" s="81"/>
      <c r="AL529" s="81"/>
      <c r="AM529" s="81"/>
      <c r="AN529" s="81"/>
      <c r="AO529" s="81"/>
      <c r="AP529" s="81"/>
      <c r="AQ529" s="81"/>
      <c r="AR529" s="81"/>
      <c r="AS529" s="81"/>
      <c r="AT529" s="81"/>
      <c r="AU529" s="81"/>
      <c r="AV529" s="81"/>
      <c r="AW529" s="81"/>
      <c r="AX529" s="81"/>
      <c r="AY529" s="81"/>
      <c r="AZ529" s="81"/>
      <c r="BA529" s="81"/>
      <c r="BB529" s="81"/>
      <c r="BC529" s="81"/>
      <c r="BD529" s="81"/>
      <c r="BE529" s="81"/>
      <c r="BF529" s="81"/>
      <c r="BG529" s="81"/>
      <c r="BH529" s="81"/>
      <c r="BI529" s="81"/>
      <c r="BJ529" s="81"/>
      <c r="BK529" s="82">
        <v>0</v>
      </c>
      <c r="BL529" s="82">
        <v>0</v>
      </c>
      <c r="BM529" s="82">
        <v>0</v>
      </c>
      <c r="BN529" s="81">
        <f t="shared" si="2483"/>
        <v>0</v>
      </c>
      <c r="BO529" s="75">
        <f t="shared" si="2484"/>
        <v>0</v>
      </c>
      <c r="BP529" s="81">
        <f t="shared" si="2485"/>
        <v>0</v>
      </c>
      <c r="BQ529" s="81">
        <f t="shared" si="2486"/>
        <v>0</v>
      </c>
      <c r="BR529" s="81">
        <f t="shared" si="2487"/>
        <v>0</v>
      </c>
      <c r="BS529" s="81">
        <f t="shared" si="2488"/>
        <v>0</v>
      </c>
      <c r="BT529" s="81">
        <f t="shared" si="2489"/>
        <v>0</v>
      </c>
      <c r="BU529" s="81">
        <f t="shared" si="2490"/>
        <v>0</v>
      </c>
      <c r="BV529" s="81">
        <f t="shared" si="2491"/>
        <v>0</v>
      </c>
      <c r="BW529" s="81">
        <f t="shared" si="2492"/>
        <v>0</v>
      </c>
      <c r="BX529" s="1"/>
      <c r="BY529" s="1"/>
      <c r="BZ529" s="1"/>
      <c r="CA529" s="1"/>
      <c r="CB529" s="1"/>
      <c r="CC529" s="1"/>
      <c r="CD529" s="1"/>
      <c r="CE529" s="1"/>
      <c r="CF529" s="1"/>
      <c r="CG529" s="1"/>
    </row>
    <row r="530" spans="1:85" ht="15.75" customHeight="1">
      <c r="A530" s="84"/>
      <c r="B530" s="115"/>
      <c r="C530" s="86" t="s">
        <v>118</v>
      </c>
      <c r="D530" s="87" t="s">
        <v>837</v>
      </c>
      <c r="E530" s="70">
        <v>5000</v>
      </c>
      <c r="F530" s="71"/>
      <c r="G530" s="71">
        <f t="shared" si="2476"/>
        <v>5000</v>
      </c>
      <c r="H530" s="70"/>
      <c r="I530" s="72">
        <f t="shared" si="2387"/>
        <v>0</v>
      </c>
      <c r="J530" s="72">
        <f t="shared" si="2388"/>
        <v>0</v>
      </c>
      <c r="K530" s="76"/>
      <c r="L530" s="74"/>
      <c r="M530" s="75"/>
      <c r="N530" s="76"/>
      <c r="O530" s="77">
        <f t="shared" ref="O530:Q530" si="2496">AA530+AD530+AG530+AJ530+AM530+AP530+AS530+AV530+AY530+BB530+BE530+BH530</f>
        <v>0</v>
      </c>
      <c r="P530" s="77">
        <f t="shared" si="2496"/>
        <v>0</v>
      </c>
      <c r="Q530" s="77">
        <f t="shared" si="2496"/>
        <v>0</v>
      </c>
      <c r="R530" s="77">
        <f t="shared" ref="R530:T530" si="2497">IF(BK530=0,SUM(AA530+AD530+AG530+AJ530+AM530+AP530+AS530+AV530+AY530+BB530+BE530+BH530),BK530)</f>
        <v>0</v>
      </c>
      <c r="S530" s="77">
        <f t="shared" si="2497"/>
        <v>0</v>
      </c>
      <c r="T530" s="77">
        <f t="shared" si="2497"/>
        <v>0</v>
      </c>
      <c r="U530" s="79">
        <f t="shared" si="2479"/>
        <v>0</v>
      </c>
      <c r="V530" s="79">
        <f t="shared" si="2480"/>
        <v>0</v>
      </c>
      <c r="W530" s="79">
        <f t="shared" si="2481"/>
        <v>0</v>
      </c>
      <c r="X530" s="80">
        <f t="shared" ref="X530:Y530" si="2498">IF(O530&gt;0,O530/K530,0)</f>
        <v>0</v>
      </c>
      <c r="Y530" s="80">
        <f t="shared" si="2498"/>
        <v>0</v>
      </c>
      <c r="Z530" s="80">
        <f t="shared" si="2391"/>
        <v>0</v>
      </c>
      <c r="AA530" s="81"/>
      <c r="AB530" s="81"/>
      <c r="AC530" s="81"/>
      <c r="AD530" s="81"/>
      <c r="AE530" s="83"/>
      <c r="AF530" s="83"/>
      <c r="AG530" s="83"/>
      <c r="AH530" s="83"/>
      <c r="AI530" s="81"/>
      <c r="AJ530" s="81"/>
      <c r="AK530" s="81"/>
      <c r="AL530" s="81"/>
      <c r="AM530" s="81"/>
      <c r="AN530" s="81"/>
      <c r="AO530" s="81"/>
      <c r="AP530" s="81"/>
      <c r="AQ530" s="81"/>
      <c r="AR530" s="81"/>
      <c r="AS530" s="81"/>
      <c r="AT530" s="81"/>
      <c r="AU530" s="81"/>
      <c r="AV530" s="81"/>
      <c r="AW530" s="81"/>
      <c r="AX530" s="81"/>
      <c r="AY530" s="81"/>
      <c r="AZ530" s="81"/>
      <c r="BA530" s="81"/>
      <c r="BB530" s="81"/>
      <c r="BC530" s="81"/>
      <c r="BD530" s="81"/>
      <c r="BE530" s="81"/>
      <c r="BF530" s="81"/>
      <c r="BG530" s="81"/>
      <c r="BH530" s="81"/>
      <c r="BI530" s="81"/>
      <c r="BJ530" s="81"/>
      <c r="BK530" s="82">
        <v>0</v>
      </c>
      <c r="BL530" s="82">
        <v>0</v>
      </c>
      <c r="BM530" s="82">
        <v>0</v>
      </c>
      <c r="BN530" s="81">
        <f t="shared" si="2483"/>
        <v>0</v>
      </c>
      <c r="BO530" s="75">
        <f t="shared" si="2484"/>
        <v>0</v>
      </c>
      <c r="BP530" s="81">
        <f t="shared" si="2485"/>
        <v>0</v>
      </c>
      <c r="BQ530" s="81">
        <f t="shared" si="2486"/>
        <v>0</v>
      </c>
      <c r="BR530" s="81">
        <f t="shared" si="2487"/>
        <v>0</v>
      </c>
      <c r="BS530" s="81">
        <f t="shared" si="2488"/>
        <v>0</v>
      </c>
      <c r="BT530" s="81">
        <f t="shared" si="2489"/>
        <v>0</v>
      </c>
      <c r="BU530" s="81">
        <f t="shared" si="2490"/>
        <v>0</v>
      </c>
      <c r="BV530" s="81">
        <f t="shared" si="2491"/>
        <v>0</v>
      </c>
      <c r="BW530" s="81">
        <f t="shared" si="2492"/>
        <v>0</v>
      </c>
      <c r="BX530" s="1"/>
      <c r="BY530" s="1"/>
      <c r="BZ530" s="1"/>
      <c r="CA530" s="1"/>
      <c r="CB530" s="1"/>
      <c r="CC530" s="1"/>
      <c r="CD530" s="1"/>
      <c r="CE530" s="1"/>
      <c r="CF530" s="1"/>
      <c r="CG530" s="1"/>
    </row>
    <row r="531" spans="1:85" ht="15.75" customHeight="1">
      <c r="A531" s="84"/>
      <c r="B531" s="115"/>
      <c r="C531" s="86" t="s">
        <v>253</v>
      </c>
      <c r="D531" s="167" t="s">
        <v>838</v>
      </c>
      <c r="E531" s="70">
        <v>5000</v>
      </c>
      <c r="F531" s="164">
        <v>0</v>
      </c>
      <c r="G531" s="71">
        <f t="shared" si="2476"/>
        <v>5000</v>
      </c>
      <c r="H531" s="70"/>
      <c r="I531" s="72">
        <f t="shared" si="2387"/>
        <v>0</v>
      </c>
      <c r="J531" s="72">
        <f t="shared" si="2388"/>
        <v>0</v>
      </c>
      <c r="K531" s="76"/>
      <c r="L531" s="74"/>
      <c r="M531" s="75"/>
      <c r="N531" s="76"/>
      <c r="O531" s="77">
        <f t="shared" ref="O531:Q531" si="2499">AA531+AD531+AG531+AJ531+AM531+AP531+AS531+AV531+AY531+BB531+BE531+BH531</f>
        <v>0</v>
      </c>
      <c r="P531" s="77">
        <f t="shared" si="2499"/>
        <v>0</v>
      </c>
      <c r="Q531" s="77">
        <f t="shared" si="2499"/>
        <v>0</v>
      </c>
      <c r="R531" s="77">
        <f t="shared" ref="R531:T531" si="2500">IF(BK531=0,SUM(AA531+AD531+AG531+AJ531+AM531+AP531+AS531+AV531+AY531+BB531+BE531+BH531),BK531)</f>
        <v>0</v>
      </c>
      <c r="S531" s="77">
        <f t="shared" si="2500"/>
        <v>0</v>
      </c>
      <c r="T531" s="77">
        <f t="shared" si="2500"/>
        <v>0</v>
      </c>
      <c r="U531" s="79">
        <f t="shared" si="2479"/>
        <v>0</v>
      </c>
      <c r="V531" s="79">
        <f t="shared" si="2480"/>
        <v>0</v>
      </c>
      <c r="W531" s="79">
        <f t="shared" si="2481"/>
        <v>0</v>
      </c>
      <c r="X531" s="80">
        <f t="shared" ref="X531:Y531" si="2501">IF(O531&gt;0,O531/K531,0)</f>
        <v>0</v>
      </c>
      <c r="Y531" s="80">
        <f t="shared" si="2501"/>
        <v>0</v>
      </c>
      <c r="Z531" s="80">
        <f t="shared" si="2391"/>
        <v>0</v>
      </c>
      <c r="AA531" s="81"/>
      <c r="AB531" s="81"/>
      <c r="AC531" s="81"/>
      <c r="AD531" s="81"/>
      <c r="AE531" s="83"/>
      <c r="AF531" s="83"/>
      <c r="AG531" s="83"/>
      <c r="AH531" s="83"/>
      <c r="AI531" s="81"/>
      <c r="AJ531" s="81"/>
      <c r="AK531" s="81"/>
      <c r="AL531" s="81"/>
      <c r="AM531" s="81"/>
      <c r="AN531" s="81"/>
      <c r="AO531" s="81"/>
      <c r="AP531" s="81"/>
      <c r="AQ531" s="81"/>
      <c r="AR531" s="81"/>
      <c r="AS531" s="81"/>
      <c r="AT531" s="81"/>
      <c r="AU531" s="81"/>
      <c r="AV531" s="81"/>
      <c r="AW531" s="81"/>
      <c r="AX531" s="81"/>
      <c r="AY531" s="81"/>
      <c r="AZ531" s="81"/>
      <c r="BA531" s="81"/>
      <c r="BB531" s="81"/>
      <c r="BC531" s="81"/>
      <c r="BD531" s="81"/>
      <c r="BE531" s="81"/>
      <c r="BF531" s="81"/>
      <c r="BG531" s="81"/>
      <c r="BH531" s="81"/>
      <c r="BI531" s="81"/>
      <c r="BJ531" s="81"/>
      <c r="BK531" s="82">
        <v>0</v>
      </c>
      <c r="BL531" s="82">
        <v>0</v>
      </c>
      <c r="BM531" s="82">
        <v>0</v>
      </c>
      <c r="BN531" s="81">
        <f t="shared" si="2483"/>
        <v>0</v>
      </c>
      <c r="BO531" s="75">
        <f t="shared" si="2484"/>
        <v>0</v>
      </c>
      <c r="BP531" s="81">
        <f t="shared" si="2485"/>
        <v>0</v>
      </c>
      <c r="BQ531" s="81">
        <f t="shared" si="2486"/>
        <v>0</v>
      </c>
      <c r="BR531" s="81">
        <f t="shared" si="2487"/>
        <v>0</v>
      </c>
      <c r="BS531" s="81">
        <f t="shared" si="2488"/>
        <v>0</v>
      </c>
      <c r="BT531" s="81">
        <f t="shared" si="2489"/>
        <v>0</v>
      </c>
      <c r="BU531" s="81">
        <f t="shared" si="2490"/>
        <v>0</v>
      </c>
      <c r="BV531" s="81">
        <f t="shared" si="2491"/>
        <v>0</v>
      </c>
      <c r="BW531" s="81">
        <f t="shared" si="2492"/>
        <v>0</v>
      </c>
      <c r="BX531" s="1"/>
      <c r="BY531" s="1"/>
      <c r="BZ531" s="1"/>
      <c r="CA531" s="1"/>
      <c r="CB531" s="1"/>
      <c r="CC531" s="1"/>
      <c r="CD531" s="1"/>
      <c r="CE531" s="1"/>
      <c r="CF531" s="1"/>
      <c r="CG531" s="1"/>
    </row>
    <row r="532" spans="1:85" ht="15.75" customHeight="1">
      <c r="A532" s="84"/>
      <c r="B532" s="115"/>
      <c r="C532" s="86" t="s">
        <v>123</v>
      </c>
      <c r="D532" s="87" t="s">
        <v>839</v>
      </c>
      <c r="E532" s="70">
        <v>1500</v>
      </c>
      <c r="F532" s="71"/>
      <c r="G532" s="71">
        <f t="shared" si="2476"/>
        <v>1500</v>
      </c>
      <c r="H532" s="70"/>
      <c r="I532" s="72">
        <f t="shared" si="2387"/>
        <v>0</v>
      </c>
      <c r="J532" s="72">
        <f t="shared" si="2388"/>
        <v>0</v>
      </c>
      <c r="K532" s="76"/>
      <c r="L532" s="74"/>
      <c r="M532" s="75"/>
      <c r="N532" s="76"/>
      <c r="O532" s="77">
        <f t="shared" ref="O532:Q532" si="2502">AA532+AD532+AG532+AJ532+AM532+AP532+AS532+AV532+AY532+BB532+BE532+BH532</f>
        <v>0</v>
      </c>
      <c r="P532" s="77">
        <f t="shared" si="2502"/>
        <v>0</v>
      </c>
      <c r="Q532" s="77">
        <f t="shared" si="2502"/>
        <v>0</v>
      </c>
      <c r="R532" s="77">
        <f t="shared" ref="R532:T532" si="2503">IF(BK532=0,SUM(AA532+AD532+AG532+AJ532+AM532+AP532+AS532+AV532+AY532+BB532+BE532+BH532),BK532)</f>
        <v>0</v>
      </c>
      <c r="S532" s="77">
        <f t="shared" si="2503"/>
        <v>0</v>
      </c>
      <c r="T532" s="77">
        <f t="shared" si="2503"/>
        <v>0</v>
      </c>
      <c r="U532" s="79">
        <f t="shared" si="2479"/>
        <v>0</v>
      </c>
      <c r="V532" s="79">
        <f t="shared" si="2480"/>
        <v>0</v>
      </c>
      <c r="W532" s="79">
        <f t="shared" si="2481"/>
        <v>0</v>
      </c>
      <c r="X532" s="80">
        <f t="shared" ref="X532:Y532" si="2504">IF(O532&gt;0,O532/K532,0)</f>
        <v>0</v>
      </c>
      <c r="Y532" s="80">
        <f t="shared" si="2504"/>
        <v>0</v>
      </c>
      <c r="Z532" s="80">
        <f t="shared" si="2391"/>
        <v>0</v>
      </c>
      <c r="AA532" s="81"/>
      <c r="AB532" s="81"/>
      <c r="AC532" s="81"/>
      <c r="AD532" s="81"/>
      <c r="AE532" s="83"/>
      <c r="AF532" s="83"/>
      <c r="AG532" s="83"/>
      <c r="AH532" s="83"/>
      <c r="AI532" s="81"/>
      <c r="AJ532" s="81"/>
      <c r="AK532" s="81"/>
      <c r="AL532" s="81"/>
      <c r="AM532" s="81"/>
      <c r="AN532" s="81"/>
      <c r="AO532" s="81"/>
      <c r="AP532" s="81"/>
      <c r="AQ532" s="81"/>
      <c r="AR532" s="81"/>
      <c r="AS532" s="81"/>
      <c r="AT532" s="81"/>
      <c r="AU532" s="81"/>
      <c r="AV532" s="81"/>
      <c r="AW532" s="81"/>
      <c r="AX532" s="81"/>
      <c r="AY532" s="81"/>
      <c r="AZ532" s="81"/>
      <c r="BA532" s="81"/>
      <c r="BB532" s="81"/>
      <c r="BC532" s="81"/>
      <c r="BD532" s="81"/>
      <c r="BE532" s="81"/>
      <c r="BF532" s="81"/>
      <c r="BG532" s="81"/>
      <c r="BH532" s="81"/>
      <c r="BI532" s="81"/>
      <c r="BJ532" s="81"/>
      <c r="BK532" s="82">
        <v>0</v>
      </c>
      <c r="BL532" s="82">
        <v>0</v>
      </c>
      <c r="BM532" s="82">
        <v>0</v>
      </c>
      <c r="BN532" s="81">
        <f t="shared" si="2483"/>
        <v>0</v>
      </c>
      <c r="BO532" s="75">
        <f t="shared" si="2484"/>
        <v>0</v>
      </c>
      <c r="BP532" s="81">
        <f t="shared" si="2485"/>
        <v>0</v>
      </c>
      <c r="BQ532" s="81">
        <f t="shared" si="2486"/>
        <v>0</v>
      </c>
      <c r="BR532" s="81">
        <f t="shared" si="2487"/>
        <v>0</v>
      </c>
      <c r="BS532" s="81">
        <f t="shared" si="2488"/>
        <v>0</v>
      </c>
      <c r="BT532" s="81">
        <f t="shared" si="2489"/>
        <v>0</v>
      </c>
      <c r="BU532" s="81">
        <f t="shared" si="2490"/>
        <v>0</v>
      </c>
      <c r="BV532" s="81">
        <f t="shared" si="2491"/>
        <v>0</v>
      </c>
      <c r="BW532" s="81">
        <f t="shared" si="2492"/>
        <v>0</v>
      </c>
      <c r="BX532" s="1"/>
      <c r="BY532" s="1"/>
      <c r="BZ532" s="1"/>
      <c r="CA532" s="1"/>
      <c r="CB532" s="1"/>
      <c r="CC532" s="1"/>
      <c r="CD532" s="1"/>
      <c r="CE532" s="1"/>
      <c r="CF532" s="1"/>
      <c r="CG532" s="1"/>
    </row>
    <row r="533" spans="1:85" ht="15.75" customHeight="1">
      <c r="A533" s="270"/>
      <c r="B533" s="271"/>
      <c r="C533" s="272"/>
      <c r="D533" s="112" t="s">
        <v>632</v>
      </c>
      <c r="E533" s="58">
        <f t="shared" ref="E533:H533" si="2505">E534</f>
        <v>40000</v>
      </c>
      <c r="F533" s="59">
        <f t="shared" si="2505"/>
        <v>0</v>
      </c>
      <c r="G533" s="59">
        <f t="shared" si="2505"/>
        <v>40000</v>
      </c>
      <c r="H533" s="59">
        <f t="shared" si="2505"/>
        <v>0</v>
      </c>
      <c r="I533" s="60">
        <f t="shared" si="2387"/>
        <v>0</v>
      </c>
      <c r="J533" s="60">
        <f t="shared" si="2388"/>
        <v>0</v>
      </c>
      <c r="K533" s="59">
        <f t="shared" ref="K533:W533" si="2506">K534</f>
        <v>0</v>
      </c>
      <c r="L533" s="59">
        <f t="shared" si="2506"/>
        <v>0</v>
      </c>
      <c r="M533" s="59">
        <f t="shared" si="2506"/>
        <v>0</v>
      </c>
      <c r="N533" s="59">
        <f t="shared" si="2506"/>
        <v>0</v>
      </c>
      <c r="O533" s="59">
        <f t="shared" si="2506"/>
        <v>0</v>
      </c>
      <c r="P533" s="59">
        <f t="shared" si="2506"/>
        <v>0</v>
      </c>
      <c r="Q533" s="59">
        <f t="shared" si="2506"/>
        <v>0</v>
      </c>
      <c r="R533" s="59">
        <f t="shared" si="2506"/>
        <v>0</v>
      </c>
      <c r="S533" s="59">
        <f t="shared" si="2506"/>
        <v>0</v>
      </c>
      <c r="T533" s="59">
        <f t="shared" si="2506"/>
        <v>0</v>
      </c>
      <c r="U533" s="59">
        <f t="shared" si="2506"/>
        <v>0</v>
      </c>
      <c r="V533" s="59">
        <f t="shared" si="2506"/>
        <v>0</v>
      </c>
      <c r="W533" s="59">
        <f t="shared" si="2506"/>
        <v>0</v>
      </c>
      <c r="X533" s="63">
        <f t="shared" ref="X533:Y533" si="2507">IF(O533&gt;0,O533/K533,0)</f>
        <v>0</v>
      </c>
      <c r="Y533" s="63">
        <f t="shared" si="2507"/>
        <v>0</v>
      </c>
      <c r="Z533" s="63">
        <f t="shared" si="2391"/>
        <v>0</v>
      </c>
      <c r="AA533" s="59">
        <f t="shared" ref="AA533:BW533" si="2508">AA534</f>
        <v>0</v>
      </c>
      <c r="AB533" s="59">
        <f t="shared" si="2508"/>
        <v>0</v>
      </c>
      <c r="AC533" s="59">
        <f t="shared" si="2508"/>
        <v>0</v>
      </c>
      <c r="AD533" s="59">
        <f t="shared" si="2508"/>
        <v>0</v>
      </c>
      <c r="AE533" s="59">
        <f t="shared" si="2508"/>
        <v>0</v>
      </c>
      <c r="AF533" s="59">
        <f t="shared" si="2508"/>
        <v>0</v>
      </c>
      <c r="AG533" s="59">
        <f t="shared" si="2508"/>
        <v>0</v>
      </c>
      <c r="AH533" s="59">
        <f t="shared" si="2508"/>
        <v>0</v>
      </c>
      <c r="AI533" s="59">
        <f t="shared" si="2508"/>
        <v>0</v>
      </c>
      <c r="AJ533" s="59">
        <f t="shared" si="2508"/>
        <v>0</v>
      </c>
      <c r="AK533" s="59">
        <f t="shared" si="2508"/>
        <v>0</v>
      </c>
      <c r="AL533" s="59">
        <f t="shared" si="2508"/>
        <v>0</v>
      </c>
      <c r="AM533" s="59">
        <f t="shared" si="2508"/>
        <v>0</v>
      </c>
      <c r="AN533" s="59">
        <f t="shared" si="2508"/>
        <v>0</v>
      </c>
      <c r="AO533" s="59">
        <f t="shared" si="2508"/>
        <v>0</v>
      </c>
      <c r="AP533" s="59">
        <f t="shared" si="2508"/>
        <v>0</v>
      </c>
      <c r="AQ533" s="59">
        <f t="shared" si="2508"/>
        <v>0</v>
      </c>
      <c r="AR533" s="59">
        <f t="shared" si="2508"/>
        <v>0</v>
      </c>
      <c r="AS533" s="59">
        <f t="shared" si="2508"/>
        <v>0</v>
      </c>
      <c r="AT533" s="59">
        <f t="shared" si="2508"/>
        <v>0</v>
      </c>
      <c r="AU533" s="59">
        <f t="shared" si="2508"/>
        <v>0</v>
      </c>
      <c r="AV533" s="59">
        <f t="shared" si="2508"/>
        <v>0</v>
      </c>
      <c r="AW533" s="59">
        <f t="shared" si="2508"/>
        <v>0</v>
      </c>
      <c r="AX533" s="59">
        <f t="shared" si="2508"/>
        <v>0</v>
      </c>
      <c r="AY533" s="59">
        <f t="shared" si="2508"/>
        <v>0</v>
      </c>
      <c r="AZ533" s="59">
        <f t="shared" si="2508"/>
        <v>0</v>
      </c>
      <c r="BA533" s="59">
        <f t="shared" si="2508"/>
        <v>0</v>
      </c>
      <c r="BB533" s="59">
        <f t="shared" si="2508"/>
        <v>0</v>
      </c>
      <c r="BC533" s="59">
        <f t="shared" si="2508"/>
        <v>0</v>
      </c>
      <c r="BD533" s="59">
        <f t="shared" si="2508"/>
        <v>0</v>
      </c>
      <c r="BE533" s="59">
        <f t="shared" si="2508"/>
        <v>0</v>
      </c>
      <c r="BF533" s="59">
        <f t="shared" si="2508"/>
        <v>0</v>
      </c>
      <c r="BG533" s="59">
        <f t="shared" si="2508"/>
        <v>0</v>
      </c>
      <c r="BH533" s="59">
        <f t="shared" si="2508"/>
        <v>0</v>
      </c>
      <c r="BI533" s="59">
        <f t="shared" si="2508"/>
        <v>0</v>
      </c>
      <c r="BJ533" s="59">
        <f t="shared" si="2508"/>
        <v>0</v>
      </c>
      <c r="BK533" s="59">
        <f t="shared" si="2508"/>
        <v>0</v>
      </c>
      <c r="BL533" s="59">
        <f t="shared" si="2508"/>
        <v>0</v>
      </c>
      <c r="BM533" s="59">
        <f t="shared" si="2508"/>
        <v>0</v>
      </c>
      <c r="BN533" s="59">
        <f t="shared" si="2508"/>
        <v>0</v>
      </c>
      <c r="BO533" s="59">
        <f t="shared" si="2508"/>
        <v>0</v>
      </c>
      <c r="BP533" s="59">
        <f t="shared" si="2508"/>
        <v>0</v>
      </c>
      <c r="BQ533" s="59">
        <f t="shared" si="2508"/>
        <v>0</v>
      </c>
      <c r="BR533" s="59">
        <f t="shared" si="2508"/>
        <v>0</v>
      </c>
      <c r="BS533" s="59">
        <f t="shared" si="2508"/>
        <v>0</v>
      </c>
      <c r="BT533" s="59">
        <f t="shared" si="2508"/>
        <v>0</v>
      </c>
      <c r="BU533" s="59">
        <f t="shared" si="2508"/>
        <v>0</v>
      </c>
      <c r="BV533" s="59">
        <f t="shared" si="2508"/>
        <v>0</v>
      </c>
      <c r="BW533" s="59">
        <f t="shared" si="2508"/>
        <v>0</v>
      </c>
      <c r="BX533" s="1"/>
      <c r="BY533" s="1"/>
      <c r="BZ533" s="1"/>
      <c r="CA533" s="1"/>
      <c r="CB533" s="1"/>
      <c r="CC533" s="1"/>
      <c r="CD533" s="1"/>
      <c r="CE533" s="1"/>
      <c r="CF533" s="1"/>
      <c r="CG533" s="1"/>
    </row>
    <row r="534" spans="1:85" ht="15.75" customHeight="1">
      <c r="A534" s="84"/>
      <c r="B534" s="115"/>
      <c r="C534" s="86" t="s">
        <v>448</v>
      </c>
      <c r="D534" s="87" t="s">
        <v>840</v>
      </c>
      <c r="E534" s="70">
        <v>40000</v>
      </c>
      <c r="F534" s="71"/>
      <c r="G534" s="71">
        <f>E534-F534</f>
        <v>40000</v>
      </c>
      <c r="H534" s="70"/>
      <c r="I534" s="72">
        <f t="shared" si="2387"/>
        <v>0</v>
      </c>
      <c r="J534" s="72">
        <f t="shared" si="2388"/>
        <v>0</v>
      </c>
      <c r="K534" s="76"/>
      <c r="L534" s="74"/>
      <c r="M534" s="75"/>
      <c r="N534" s="76"/>
      <c r="O534" s="77">
        <f t="shared" ref="O534:Q534" si="2509">AA534+AD534+AG534+AJ534+AM534+AP534+AS534+AV534+AY534+BB534+BE534+BH534</f>
        <v>0</v>
      </c>
      <c r="P534" s="77">
        <f t="shared" si="2509"/>
        <v>0</v>
      </c>
      <c r="Q534" s="77">
        <f t="shared" si="2509"/>
        <v>0</v>
      </c>
      <c r="R534" s="77">
        <f t="shared" ref="R534:T534" si="2510">IF(BK534=0,SUM(AA534+AD534+AG534+AJ534+AM534+AP534+AS534+AV534+AY534+BB534+BE534+BH534),BK534)</f>
        <v>0</v>
      </c>
      <c r="S534" s="77">
        <f t="shared" si="2510"/>
        <v>0</v>
      </c>
      <c r="T534" s="77">
        <f t="shared" si="2510"/>
        <v>0</v>
      </c>
      <c r="U534" s="79">
        <f>K534-O534</f>
        <v>0</v>
      </c>
      <c r="V534" s="79">
        <f>L534-M534-S534</f>
        <v>0</v>
      </c>
      <c r="W534" s="79">
        <f>N534-Q534</f>
        <v>0</v>
      </c>
      <c r="X534" s="80">
        <f t="shared" ref="X534:Y534" si="2511">IF(O534&gt;0,O534/K534,0)</f>
        <v>0</v>
      </c>
      <c r="Y534" s="80">
        <f t="shared" si="2511"/>
        <v>0</v>
      </c>
      <c r="Z534" s="80">
        <f t="shared" si="2391"/>
        <v>0</v>
      </c>
      <c r="AA534" s="81"/>
      <c r="AB534" s="81"/>
      <c r="AC534" s="81"/>
      <c r="AD534" s="81"/>
      <c r="AE534" s="83"/>
      <c r="AF534" s="83"/>
      <c r="AG534" s="83"/>
      <c r="AH534" s="83"/>
      <c r="AI534" s="81"/>
      <c r="AJ534" s="81"/>
      <c r="AK534" s="81"/>
      <c r="AL534" s="81"/>
      <c r="AM534" s="81"/>
      <c r="AN534" s="81"/>
      <c r="AO534" s="81"/>
      <c r="AP534" s="81"/>
      <c r="AQ534" s="81"/>
      <c r="AR534" s="81"/>
      <c r="AS534" s="81"/>
      <c r="AT534" s="81"/>
      <c r="AU534" s="81"/>
      <c r="AV534" s="81"/>
      <c r="AW534" s="81"/>
      <c r="AX534" s="81"/>
      <c r="AY534" s="81"/>
      <c r="AZ534" s="81"/>
      <c r="BA534" s="81"/>
      <c r="BB534" s="81"/>
      <c r="BC534" s="81"/>
      <c r="BD534" s="81"/>
      <c r="BE534" s="81"/>
      <c r="BF534" s="81"/>
      <c r="BG534" s="81"/>
      <c r="BH534" s="81"/>
      <c r="BI534" s="81"/>
      <c r="BJ534" s="81"/>
      <c r="BK534" s="82">
        <v>0</v>
      </c>
      <c r="BL534" s="82">
        <v>0</v>
      </c>
      <c r="BM534" s="82">
        <v>0</v>
      </c>
      <c r="BN534" s="81">
        <f>IF(O534-BK534&gt;0,O534-BK534,0)</f>
        <v>0</v>
      </c>
      <c r="BO534" s="75">
        <f>IF(Q534-BM534&gt;0,Q534-BM534,0)</f>
        <v>0</v>
      </c>
      <c r="BP534" s="81">
        <f>IF(BN534+BO534&gt;0,BN534+BO534,0)</f>
        <v>0</v>
      </c>
      <c r="BQ534" s="81">
        <f>IF(U534=0,0,U534)</f>
        <v>0</v>
      </c>
      <c r="BR534" s="81">
        <f>IF(W534=0,0,W534)</f>
        <v>0</v>
      </c>
      <c r="BS534" s="81">
        <f>IF(BQ534+BR534&gt;0,BQ534+BR534,0)</f>
        <v>0</v>
      </c>
      <c r="BT534" s="81">
        <f>IF(V534&gt;0,V534,0)</f>
        <v>0</v>
      </c>
      <c r="BU534" s="81">
        <f>IF(BP534=0,0,BP534)</f>
        <v>0</v>
      </c>
      <c r="BV534" s="81">
        <f>IF(BS534=0,0,BS534)</f>
        <v>0</v>
      </c>
      <c r="BW534" s="81">
        <f>IF(BP534+BT534+BV534&gt;0,BP534+BT534+BV534,0)</f>
        <v>0</v>
      </c>
      <c r="BX534" s="1"/>
      <c r="BY534" s="1"/>
      <c r="BZ534" s="1"/>
      <c r="CA534" s="1"/>
      <c r="CB534" s="1"/>
      <c r="CC534" s="1"/>
      <c r="CD534" s="1"/>
      <c r="CE534" s="1"/>
      <c r="CF534" s="1"/>
      <c r="CG534" s="1"/>
    </row>
    <row r="535" spans="1:85" ht="15.75">
      <c r="A535" s="109"/>
      <c r="B535" s="110"/>
      <c r="C535" s="111"/>
      <c r="D535" s="112" t="s">
        <v>128</v>
      </c>
      <c r="E535" s="58">
        <f t="shared" ref="E535:H535" si="2512">SUM(E536:E538)</f>
        <v>25000</v>
      </c>
      <c r="F535" s="58">
        <f t="shared" si="2512"/>
        <v>0</v>
      </c>
      <c r="G535" s="58">
        <f t="shared" si="2512"/>
        <v>25000</v>
      </c>
      <c r="H535" s="58">
        <f t="shared" si="2512"/>
        <v>0</v>
      </c>
      <c r="I535" s="60">
        <f t="shared" si="2387"/>
        <v>0</v>
      </c>
      <c r="J535" s="60">
        <f t="shared" si="2388"/>
        <v>0</v>
      </c>
      <c r="K535" s="58">
        <f t="shared" ref="K535:W535" si="2513">SUM(K536:K538)</f>
        <v>0</v>
      </c>
      <c r="L535" s="58">
        <f t="shared" si="2513"/>
        <v>0</v>
      </c>
      <c r="M535" s="58">
        <f t="shared" si="2513"/>
        <v>0</v>
      </c>
      <c r="N535" s="58">
        <f t="shared" si="2513"/>
        <v>0</v>
      </c>
      <c r="O535" s="58">
        <f t="shared" si="2513"/>
        <v>0</v>
      </c>
      <c r="P535" s="58">
        <f t="shared" si="2513"/>
        <v>0</v>
      </c>
      <c r="Q535" s="58">
        <f t="shared" si="2513"/>
        <v>0</v>
      </c>
      <c r="R535" s="58">
        <f t="shared" si="2513"/>
        <v>0</v>
      </c>
      <c r="S535" s="58">
        <f t="shared" si="2513"/>
        <v>0</v>
      </c>
      <c r="T535" s="58">
        <f t="shared" si="2513"/>
        <v>0</v>
      </c>
      <c r="U535" s="58">
        <f t="shared" si="2513"/>
        <v>0</v>
      </c>
      <c r="V535" s="58">
        <f t="shared" si="2513"/>
        <v>0</v>
      </c>
      <c r="W535" s="58">
        <f t="shared" si="2513"/>
        <v>0</v>
      </c>
      <c r="X535" s="63">
        <f t="shared" ref="X535:Y535" si="2514">IF(O535&gt;0,O535/K535,0)</f>
        <v>0</v>
      </c>
      <c r="Y535" s="63">
        <f t="shared" si="2514"/>
        <v>0</v>
      </c>
      <c r="Z535" s="63">
        <f t="shared" si="2391"/>
        <v>0</v>
      </c>
      <c r="AA535" s="58">
        <f t="shared" ref="AA535:BW535" si="2515">SUM(AA536:AA538)</f>
        <v>0</v>
      </c>
      <c r="AB535" s="58">
        <f t="shared" si="2515"/>
        <v>0</v>
      </c>
      <c r="AC535" s="58">
        <f t="shared" si="2515"/>
        <v>0</v>
      </c>
      <c r="AD535" s="58">
        <f t="shared" si="2515"/>
        <v>0</v>
      </c>
      <c r="AE535" s="58">
        <f t="shared" si="2515"/>
        <v>0</v>
      </c>
      <c r="AF535" s="58">
        <f t="shared" si="2515"/>
        <v>0</v>
      </c>
      <c r="AG535" s="58">
        <f t="shared" si="2515"/>
        <v>0</v>
      </c>
      <c r="AH535" s="58">
        <f t="shared" si="2515"/>
        <v>0</v>
      </c>
      <c r="AI535" s="58">
        <f t="shared" si="2515"/>
        <v>0</v>
      </c>
      <c r="AJ535" s="58">
        <f t="shared" si="2515"/>
        <v>0</v>
      </c>
      <c r="AK535" s="58">
        <f t="shared" si="2515"/>
        <v>0</v>
      </c>
      <c r="AL535" s="58">
        <f t="shared" si="2515"/>
        <v>0</v>
      </c>
      <c r="AM535" s="58">
        <f t="shared" si="2515"/>
        <v>0</v>
      </c>
      <c r="AN535" s="58">
        <f t="shared" si="2515"/>
        <v>0</v>
      </c>
      <c r="AO535" s="58">
        <f t="shared" si="2515"/>
        <v>0</v>
      </c>
      <c r="AP535" s="58">
        <f t="shared" si="2515"/>
        <v>0</v>
      </c>
      <c r="AQ535" s="58">
        <f t="shared" si="2515"/>
        <v>0</v>
      </c>
      <c r="AR535" s="58">
        <f t="shared" si="2515"/>
        <v>0</v>
      </c>
      <c r="AS535" s="58">
        <f t="shared" si="2515"/>
        <v>0</v>
      </c>
      <c r="AT535" s="58">
        <f t="shared" si="2515"/>
        <v>0</v>
      </c>
      <c r="AU535" s="58">
        <f t="shared" si="2515"/>
        <v>0</v>
      </c>
      <c r="AV535" s="58">
        <f t="shared" si="2515"/>
        <v>0</v>
      </c>
      <c r="AW535" s="58">
        <f t="shared" si="2515"/>
        <v>0</v>
      </c>
      <c r="AX535" s="58">
        <f t="shared" si="2515"/>
        <v>0</v>
      </c>
      <c r="AY535" s="58">
        <f t="shared" si="2515"/>
        <v>0</v>
      </c>
      <c r="AZ535" s="58">
        <f t="shared" si="2515"/>
        <v>0</v>
      </c>
      <c r="BA535" s="58">
        <f t="shared" si="2515"/>
        <v>0</v>
      </c>
      <c r="BB535" s="58">
        <f t="shared" si="2515"/>
        <v>0</v>
      </c>
      <c r="BC535" s="58">
        <f t="shared" si="2515"/>
        <v>0</v>
      </c>
      <c r="BD535" s="58">
        <f t="shared" si="2515"/>
        <v>0</v>
      </c>
      <c r="BE535" s="58">
        <f t="shared" si="2515"/>
        <v>0</v>
      </c>
      <c r="BF535" s="58">
        <f t="shared" si="2515"/>
        <v>0</v>
      </c>
      <c r="BG535" s="58">
        <f t="shared" si="2515"/>
        <v>0</v>
      </c>
      <c r="BH535" s="58">
        <f t="shared" si="2515"/>
        <v>0</v>
      </c>
      <c r="BI535" s="58">
        <f t="shared" si="2515"/>
        <v>0</v>
      </c>
      <c r="BJ535" s="58">
        <f t="shared" si="2515"/>
        <v>0</v>
      </c>
      <c r="BK535" s="58">
        <f t="shared" si="2515"/>
        <v>0</v>
      </c>
      <c r="BL535" s="58">
        <f t="shared" si="2515"/>
        <v>0</v>
      </c>
      <c r="BM535" s="58">
        <f t="shared" si="2515"/>
        <v>0</v>
      </c>
      <c r="BN535" s="58">
        <f t="shared" si="2515"/>
        <v>0</v>
      </c>
      <c r="BO535" s="58">
        <f t="shared" si="2515"/>
        <v>0</v>
      </c>
      <c r="BP535" s="58">
        <f t="shared" si="2515"/>
        <v>0</v>
      </c>
      <c r="BQ535" s="58">
        <f t="shared" si="2515"/>
        <v>0</v>
      </c>
      <c r="BR535" s="58">
        <f t="shared" si="2515"/>
        <v>0</v>
      </c>
      <c r="BS535" s="58">
        <f t="shared" si="2515"/>
        <v>0</v>
      </c>
      <c r="BT535" s="58">
        <f t="shared" si="2515"/>
        <v>0</v>
      </c>
      <c r="BU535" s="58">
        <f t="shared" si="2515"/>
        <v>0</v>
      </c>
      <c r="BV535" s="58">
        <f t="shared" si="2515"/>
        <v>0</v>
      </c>
      <c r="BW535" s="58">
        <f t="shared" si="2515"/>
        <v>0</v>
      </c>
      <c r="BX535" s="65"/>
      <c r="BY535" s="65"/>
      <c r="BZ535" s="65"/>
      <c r="CA535" s="65"/>
      <c r="CB535" s="65"/>
      <c r="CC535" s="65"/>
      <c r="CD535" s="65"/>
      <c r="CE535" s="65"/>
      <c r="CF535" s="65"/>
      <c r="CG535" s="65"/>
    </row>
    <row r="536" spans="1:85" ht="15.75" customHeight="1">
      <c r="A536" s="84"/>
      <c r="B536" s="115"/>
      <c r="C536" s="86" t="s">
        <v>578</v>
      </c>
      <c r="D536" s="292" t="s">
        <v>579</v>
      </c>
      <c r="E536" s="70">
        <v>15000</v>
      </c>
      <c r="F536" s="71"/>
      <c r="G536" s="71">
        <f t="shared" ref="G536:G538" si="2516">E536-F536</f>
        <v>15000</v>
      </c>
      <c r="H536" s="70"/>
      <c r="I536" s="72">
        <f t="shared" si="2387"/>
        <v>0</v>
      </c>
      <c r="J536" s="72">
        <f t="shared" si="2388"/>
        <v>0</v>
      </c>
      <c r="K536" s="76"/>
      <c r="L536" s="74"/>
      <c r="M536" s="75"/>
      <c r="N536" s="76"/>
      <c r="O536" s="77">
        <f t="shared" ref="O536:Q536" si="2517">AA536+AD536+AG536+AJ536+AM536+AP536+AS536+AV536+AY536+BB536+BE536+BH536</f>
        <v>0</v>
      </c>
      <c r="P536" s="77">
        <f t="shared" si="2517"/>
        <v>0</v>
      </c>
      <c r="Q536" s="77">
        <f t="shared" si="2517"/>
        <v>0</v>
      </c>
      <c r="R536" s="77">
        <f t="shared" ref="R536:T536" si="2518">IF(BK536=0,SUM(AA536+AD536+AG536+AJ536+AM536+AP536+AS536+AV536+AY536+BB536+BE536+BH536),BK536)</f>
        <v>0</v>
      </c>
      <c r="S536" s="77">
        <f t="shared" si="2518"/>
        <v>0</v>
      </c>
      <c r="T536" s="77">
        <f t="shared" si="2518"/>
        <v>0</v>
      </c>
      <c r="U536" s="79">
        <f t="shared" ref="U536:U538" si="2519">K536-O536</f>
        <v>0</v>
      </c>
      <c r="V536" s="79">
        <f t="shared" ref="V536:V538" si="2520">L536-M536-S536</f>
        <v>0</v>
      </c>
      <c r="W536" s="79">
        <f t="shared" ref="W536:W538" si="2521">N536-Q536</f>
        <v>0</v>
      </c>
      <c r="X536" s="80">
        <f t="shared" ref="X536:Y536" si="2522">IF(O536&gt;0,O536/K536,0)</f>
        <v>0</v>
      </c>
      <c r="Y536" s="80">
        <f t="shared" si="2522"/>
        <v>0</v>
      </c>
      <c r="Z536" s="80">
        <f t="shared" si="2391"/>
        <v>0</v>
      </c>
      <c r="AA536" s="81"/>
      <c r="AB536" s="81"/>
      <c r="AC536" s="81"/>
      <c r="AD536" s="81"/>
      <c r="AE536" s="83"/>
      <c r="AF536" s="83"/>
      <c r="AG536" s="83"/>
      <c r="AH536" s="83"/>
      <c r="AI536" s="81"/>
      <c r="AJ536" s="81"/>
      <c r="AK536" s="81"/>
      <c r="AL536" s="81"/>
      <c r="AM536" s="81"/>
      <c r="AN536" s="81"/>
      <c r="AO536" s="81"/>
      <c r="AP536" s="81"/>
      <c r="AQ536" s="81"/>
      <c r="AR536" s="81"/>
      <c r="AS536" s="81"/>
      <c r="AT536" s="81"/>
      <c r="AU536" s="81"/>
      <c r="AV536" s="81"/>
      <c r="AW536" s="81"/>
      <c r="AX536" s="81"/>
      <c r="AY536" s="81"/>
      <c r="AZ536" s="81"/>
      <c r="BA536" s="81"/>
      <c r="BB536" s="81"/>
      <c r="BC536" s="81"/>
      <c r="BD536" s="81"/>
      <c r="BE536" s="81"/>
      <c r="BF536" s="81"/>
      <c r="BG536" s="81"/>
      <c r="BH536" s="81"/>
      <c r="BI536" s="81"/>
      <c r="BJ536" s="81"/>
      <c r="BK536" s="82">
        <v>0</v>
      </c>
      <c r="BL536" s="82">
        <v>0</v>
      </c>
      <c r="BM536" s="82">
        <v>0</v>
      </c>
      <c r="BN536" s="81">
        <f t="shared" ref="BN536:BN538" si="2523">IF(O536-BK536&gt;0,O536-BK536,0)</f>
        <v>0</v>
      </c>
      <c r="BO536" s="75">
        <f t="shared" ref="BO536:BO538" si="2524">IF(Q536-BM536&gt;0,Q536-BM536,0)</f>
        <v>0</v>
      </c>
      <c r="BP536" s="81">
        <f t="shared" ref="BP536:BP538" si="2525">IF(BN536+BO536&gt;0,BN536+BO536,0)</f>
        <v>0</v>
      </c>
      <c r="BQ536" s="81">
        <f t="shared" ref="BQ536:BQ538" si="2526">IF(U536=0,0,U536)</f>
        <v>0</v>
      </c>
      <c r="BR536" s="81">
        <f t="shared" ref="BR536:BR538" si="2527">IF(W536=0,0,W536)</f>
        <v>0</v>
      </c>
      <c r="BS536" s="81">
        <f t="shared" ref="BS536:BS538" si="2528">IF(BQ536+BR536&gt;0,BQ536+BR536,0)</f>
        <v>0</v>
      </c>
      <c r="BT536" s="81">
        <f t="shared" ref="BT536:BT538" si="2529">IF(V536&gt;0,V536,0)</f>
        <v>0</v>
      </c>
      <c r="BU536" s="81">
        <f t="shared" ref="BU536:BU538" si="2530">IF(BP536=0,0,BP536)</f>
        <v>0</v>
      </c>
      <c r="BV536" s="81">
        <f t="shared" ref="BV536:BV538" si="2531">IF(BS536=0,0,BS536)</f>
        <v>0</v>
      </c>
      <c r="BW536" s="81">
        <f t="shared" ref="BW536:BW538" si="2532">IF(BP536+BT536+BV536&gt;0,BP536+BT536+BV536,0)</f>
        <v>0</v>
      </c>
      <c r="BX536" s="1"/>
      <c r="BY536" s="1"/>
      <c r="BZ536" s="1"/>
      <c r="CA536" s="1"/>
      <c r="CB536" s="1"/>
      <c r="CC536" s="1"/>
      <c r="CD536" s="1"/>
      <c r="CE536" s="1"/>
      <c r="CF536" s="1"/>
      <c r="CG536" s="1"/>
    </row>
    <row r="537" spans="1:85" ht="15.75" customHeight="1">
      <c r="A537" s="84"/>
      <c r="B537" s="115"/>
      <c r="C537" s="86" t="s">
        <v>146</v>
      </c>
      <c r="D537" s="87" t="s">
        <v>841</v>
      </c>
      <c r="E537" s="70">
        <v>3000</v>
      </c>
      <c r="F537" s="71"/>
      <c r="G537" s="71">
        <f t="shared" si="2516"/>
        <v>3000</v>
      </c>
      <c r="H537" s="70"/>
      <c r="I537" s="72">
        <f t="shared" si="2387"/>
        <v>0</v>
      </c>
      <c r="J537" s="72">
        <f t="shared" si="2388"/>
        <v>0</v>
      </c>
      <c r="K537" s="76"/>
      <c r="L537" s="74"/>
      <c r="M537" s="75"/>
      <c r="N537" s="76"/>
      <c r="O537" s="77">
        <f t="shared" ref="O537:Q537" si="2533">AA537+AD537+AG537+AJ537+AM537+AP537+AS537+AV537+AY537+BB537+BE537+BH537</f>
        <v>0</v>
      </c>
      <c r="P537" s="77">
        <f t="shared" si="2533"/>
        <v>0</v>
      </c>
      <c r="Q537" s="77">
        <f t="shared" si="2533"/>
        <v>0</v>
      </c>
      <c r="R537" s="77">
        <f t="shared" ref="R537:T537" si="2534">IF(BK537=0,SUM(AA537+AD537+AG537+AJ537+AM537+AP537+AS537+AV537+AY537+BB537+BE537+BH537),BK537)</f>
        <v>0</v>
      </c>
      <c r="S537" s="77">
        <f t="shared" si="2534"/>
        <v>0</v>
      </c>
      <c r="T537" s="77">
        <f t="shared" si="2534"/>
        <v>0</v>
      </c>
      <c r="U537" s="79">
        <f t="shared" si="2519"/>
        <v>0</v>
      </c>
      <c r="V537" s="79">
        <f t="shared" si="2520"/>
        <v>0</v>
      </c>
      <c r="W537" s="79">
        <f t="shared" si="2521"/>
        <v>0</v>
      </c>
      <c r="X537" s="80">
        <f t="shared" ref="X537:Y537" si="2535">IF(O537&gt;0,O537/K537,0)</f>
        <v>0</v>
      </c>
      <c r="Y537" s="80">
        <f t="shared" si="2535"/>
        <v>0</v>
      </c>
      <c r="Z537" s="80">
        <f t="shared" si="2391"/>
        <v>0</v>
      </c>
      <c r="AA537" s="81"/>
      <c r="AB537" s="81"/>
      <c r="AC537" s="81"/>
      <c r="AD537" s="81"/>
      <c r="AE537" s="83"/>
      <c r="AF537" s="83"/>
      <c r="AG537" s="83"/>
      <c r="AH537" s="83"/>
      <c r="AI537" s="81"/>
      <c r="AJ537" s="81"/>
      <c r="AK537" s="81"/>
      <c r="AL537" s="81"/>
      <c r="AM537" s="81"/>
      <c r="AN537" s="81"/>
      <c r="AO537" s="81"/>
      <c r="AP537" s="81"/>
      <c r="AQ537" s="81"/>
      <c r="AR537" s="81"/>
      <c r="AS537" s="81"/>
      <c r="AT537" s="81"/>
      <c r="AU537" s="81"/>
      <c r="AV537" s="81"/>
      <c r="AW537" s="81"/>
      <c r="AX537" s="81"/>
      <c r="AY537" s="81"/>
      <c r="AZ537" s="81"/>
      <c r="BA537" s="81"/>
      <c r="BB537" s="81"/>
      <c r="BC537" s="81"/>
      <c r="BD537" s="81"/>
      <c r="BE537" s="81"/>
      <c r="BF537" s="81"/>
      <c r="BG537" s="81"/>
      <c r="BH537" s="81"/>
      <c r="BI537" s="81"/>
      <c r="BJ537" s="81"/>
      <c r="BK537" s="82">
        <v>0</v>
      </c>
      <c r="BL537" s="82">
        <v>0</v>
      </c>
      <c r="BM537" s="82">
        <v>0</v>
      </c>
      <c r="BN537" s="81">
        <f t="shared" si="2523"/>
        <v>0</v>
      </c>
      <c r="BO537" s="75">
        <f t="shared" si="2524"/>
        <v>0</v>
      </c>
      <c r="BP537" s="81">
        <f t="shared" si="2525"/>
        <v>0</v>
      </c>
      <c r="BQ537" s="81">
        <f t="shared" si="2526"/>
        <v>0</v>
      </c>
      <c r="BR537" s="81">
        <f t="shared" si="2527"/>
        <v>0</v>
      </c>
      <c r="BS537" s="81">
        <f t="shared" si="2528"/>
        <v>0</v>
      </c>
      <c r="BT537" s="81">
        <f t="shared" si="2529"/>
        <v>0</v>
      </c>
      <c r="BU537" s="81">
        <f t="shared" si="2530"/>
        <v>0</v>
      </c>
      <c r="BV537" s="81">
        <f t="shared" si="2531"/>
        <v>0</v>
      </c>
      <c r="BW537" s="81">
        <f t="shared" si="2532"/>
        <v>0</v>
      </c>
      <c r="BX537" s="1"/>
      <c r="BY537" s="1"/>
      <c r="BZ537" s="1"/>
      <c r="CA537" s="1"/>
      <c r="CB537" s="1"/>
      <c r="CC537" s="1"/>
      <c r="CD537" s="1"/>
      <c r="CE537" s="1"/>
      <c r="CF537" s="1"/>
      <c r="CG537" s="1"/>
    </row>
    <row r="538" spans="1:85" ht="15.75" customHeight="1">
      <c r="A538" s="108"/>
      <c r="B538" s="90"/>
      <c r="C538" s="91" t="s">
        <v>596</v>
      </c>
      <c r="D538" s="398" t="s">
        <v>842</v>
      </c>
      <c r="E538" s="70">
        <v>7000</v>
      </c>
      <c r="F538" s="71"/>
      <c r="G538" s="71">
        <f t="shared" si="2516"/>
        <v>7000</v>
      </c>
      <c r="H538" s="70"/>
      <c r="I538" s="72">
        <f t="shared" si="2387"/>
        <v>0</v>
      </c>
      <c r="J538" s="72">
        <f t="shared" si="2388"/>
        <v>0</v>
      </c>
      <c r="K538" s="76"/>
      <c r="L538" s="74"/>
      <c r="M538" s="75"/>
      <c r="N538" s="76"/>
      <c r="O538" s="77">
        <f t="shared" ref="O538:Q538" si="2536">AA538+AD538+AG538+AJ538+AM538+AP538+AS538+AV538+AY538+BB538+BE538+BH538</f>
        <v>0</v>
      </c>
      <c r="P538" s="77">
        <f t="shared" si="2536"/>
        <v>0</v>
      </c>
      <c r="Q538" s="77">
        <f t="shared" si="2536"/>
        <v>0</v>
      </c>
      <c r="R538" s="77">
        <f t="shared" ref="R538:T538" si="2537">IF(BK538=0,SUM(AA538+AD538+AG538+AJ538+AM538+AP538+AS538+AV538+AY538+BB538+BE538+BH538),BK538)</f>
        <v>0</v>
      </c>
      <c r="S538" s="77">
        <f t="shared" si="2537"/>
        <v>0</v>
      </c>
      <c r="T538" s="77">
        <f t="shared" si="2537"/>
        <v>0</v>
      </c>
      <c r="U538" s="79">
        <f t="shared" si="2519"/>
        <v>0</v>
      </c>
      <c r="V538" s="79">
        <f t="shared" si="2520"/>
        <v>0</v>
      </c>
      <c r="W538" s="79">
        <f t="shared" si="2521"/>
        <v>0</v>
      </c>
      <c r="X538" s="80">
        <f t="shared" ref="X538:Y538" si="2538">IF(O538&gt;0,O538/K538,0)</f>
        <v>0</v>
      </c>
      <c r="Y538" s="80">
        <f t="shared" si="2538"/>
        <v>0</v>
      </c>
      <c r="Z538" s="80">
        <f t="shared" si="2391"/>
        <v>0</v>
      </c>
      <c r="AA538" s="81"/>
      <c r="AB538" s="81"/>
      <c r="AC538" s="81"/>
      <c r="AD538" s="81"/>
      <c r="AE538" s="83"/>
      <c r="AF538" s="83"/>
      <c r="AG538" s="83"/>
      <c r="AH538" s="83"/>
      <c r="AI538" s="81"/>
      <c r="AJ538" s="81"/>
      <c r="AK538" s="81"/>
      <c r="AL538" s="81"/>
      <c r="AM538" s="81"/>
      <c r="AN538" s="81"/>
      <c r="AO538" s="81"/>
      <c r="AP538" s="81"/>
      <c r="AQ538" s="81"/>
      <c r="AR538" s="81"/>
      <c r="AS538" s="81"/>
      <c r="AT538" s="81"/>
      <c r="AU538" s="81"/>
      <c r="AV538" s="81"/>
      <c r="AW538" s="81"/>
      <c r="AX538" s="81"/>
      <c r="AY538" s="81"/>
      <c r="AZ538" s="81"/>
      <c r="BA538" s="81"/>
      <c r="BB538" s="81"/>
      <c r="BC538" s="81"/>
      <c r="BD538" s="81"/>
      <c r="BE538" s="81"/>
      <c r="BF538" s="81"/>
      <c r="BG538" s="81"/>
      <c r="BH538" s="81"/>
      <c r="BI538" s="81"/>
      <c r="BJ538" s="81"/>
      <c r="BK538" s="82">
        <v>0</v>
      </c>
      <c r="BL538" s="82">
        <v>0</v>
      </c>
      <c r="BM538" s="82">
        <v>0</v>
      </c>
      <c r="BN538" s="81">
        <f t="shared" si="2523"/>
        <v>0</v>
      </c>
      <c r="BO538" s="75">
        <f t="shared" si="2524"/>
        <v>0</v>
      </c>
      <c r="BP538" s="81">
        <f t="shared" si="2525"/>
        <v>0</v>
      </c>
      <c r="BQ538" s="81">
        <f t="shared" si="2526"/>
        <v>0</v>
      </c>
      <c r="BR538" s="81">
        <f t="shared" si="2527"/>
        <v>0</v>
      </c>
      <c r="BS538" s="81">
        <f t="shared" si="2528"/>
        <v>0</v>
      </c>
      <c r="BT538" s="81">
        <f t="shared" si="2529"/>
        <v>0</v>
      </c>
      <c r="BU538" s="81">
        <f t="shared" si="2530"/>
        <v>0</v>
      </c>
      <c r="BV538" s="81">
        <f t="shared" si="2531"/>
        <v>0</v>
      </c>
      <c r="BW538" s="81">
        <f t="shared" si="2532"/>
        <v>0</v>
      </c>
      <c r="BX538" s="1"/>
      <c r="BY538" s="1"/>
      <c r="BZ538" s="1"/>
      <c r="CA538" s="1"/>
      <c r="CB538" s="1"/>
      <c r="CC538" s="1"/>
      <c r="CD538" s="1"/>
      <c r="CE538" s="1"/>
      <c r="CF538" s="1"/>
      <c r="CG538" s="1"/>
    </row>
    <row r="539" spans="1:85" ht="15.75" customHeight="1">
      <c r="A539" s="399"/>
      <c r="B539" s="248"/>
      <c r="C539" s="249"/>
      <c r="D539" s="250" t="s">
        <v>843</v>
      </c>
      <c r="E539" s="104">
        <f t="shared" ref="E539:H539" si="2539">E540+E554</f>
        <v>246432.97999999998</v>
      </c>
      <c r="F539" s="371">
        <f t="shared" si="2539"/>
        <v>127568.19</v>
      </c>
      <c r="G539" s="371">
        <f t="shared" si="2539"/>
        <v>118864.79</v>
      </c>
      <c r="H539" s="251">
        <f t="shared" si="2539"/>
        <v>0</v>
      </c>
      <c r="I539" s="105">
        <f t="shared" si="2387"/>
        <v>0.88061393117339459</v>
      </c>
      <c r="J539" s="105">
        <f t="shared" si="2388"/>
        <v>0.86950887643010177</v>
      </c>
      <c r="K539" s="251">
        <f t="shared" ref="K539:W539" si="2540">K540+K554</f>
        <v>104673.98999999999</v>
      </c>
      <c r="L539" s="371">
        <f t="shared" si="2540"/>
        <v>1488</v>
      </c>
      <c r="M539" s="371">
        <f t="shared" si="2540"/>
        <v>1488</v>
      </c>
      <c r="N539" s="251">
        <f t="shared" si="2540"/>
        <v>0</v>
      </c>
      <c r="O539" s="371">
        <f t="shared" si="2540"/>
        <v>103353.98999999999</v>
      </c>
      <c r="P539" s="371">
        <f t="shared" si="2540"/>
        <v>0</v>
      </c>
      <c r="Q539" s="371">
        <f t="shared" si="2540"/>
        <v>0</v>
      </c>
      <c r="R539" s="371">
        <f t="shared" si="2540"/>
        <v>103353.98999999999</v>
      </c>
      <c r="S539" s="371">
        <f t="shared" si="2540"/>
        <v>0</v>
      </c>
      <c r="T539" s="371">
        <f t="shared" si="2540"/>
        <v>0</v>
      </c>
      <c r="U539" s="251">
        <f t="shared" si="2540"/>
        <v>1320</v>
      </c>
      <c r="V539" s="251">
        <f t="shared" si="2540"/>
        <v>0</v>
      </c>
      <c r="W539" s="251">
        <f t="shared" si="2540"/>
        <v>0</v>
      </c>
      <c r="X539" s="106">
        <f t="shared" ref="X539:Y539" si="2541">IF(O539&gt;0,O539/K539,0)</f>
        <v>0.98738941737102026</v>
      </c>
      <c r="Y539" s="106">
        <f t="shared" si="2541"/>
        <v>0</v>
      </c>
      <c r="Z539" s="106">
        <f t="shared" si="2391"/>
        <v>0</v>
      </c>
      <c r="AA539" s="371">
        <f t="shared" ref="AA539:BW539" si="2542">AA540+AA554</f>
        <v>0</v>
      </c>
      <c r="AB539" s="371">
        <f t="shared" si="2542"/>
        <v>0</v>
      </c>
      <c r="AC539" s="371">
        <f t="shared" si="2542"/>
        <v>0</v>
      </c>
      <c r="AD539" s="371">
        <f t="shared" si="2542"/>
        <v>0</v>
      </c>
      <c r="AE539" s="371">
        <f t="shared" si="2542"/>
        <v>0</v>
      </c>
      <c r="AF539" s="371">
        <f t="shared" si="2542"/>
        <v>0</v>
      </c>
      <c r="AG539" s="371">
        <f t="shared" si="2542"/>
        <v>0</v>
      </c>
      <c r="AH539" s="371">
        <f t="shared" si="2542"/>
        <v>0</v>
      </c>
      <c r="AI539" s="371">
        <f t="shared" si="2542"/>
        <v>0</v>
      </c>
      <c r="AJ539" s="371">
        <f t="shared" si="2542"/>
        <v>0</v>
      </c>
      <c r="AK539" s="371">
        <f t="shared" si="2542"/>
        <v>0</v>
      </c>
      <c r="AL539" s="371">
        <f t="shared" si="2542"/>
        <v>0</v>
      </c>
      <c r="AM539" s="371">
        <f t="shared" si="2542"/>
        <v>830.75</v>
      </c>
      <c r="AN539" s="371">
        <f t="shared" si="2542"/>
        <v>0</v>
      </c>
      <c r="AO539" s="371">
        <f t="shared" si="2542"/>
        <v>0</v>
      </c>
      <c r="AP539" s="371">
        <f t="shared" si="2542"/>
        <v>18531.22</v>
      </c>
      <c r="AQ539" s="371">
        <f t="shared" si="2542"/>
        <v>0</v>
      </c>
      <c r="AR539" s="371">
        <f t="shared" si="2542"/>
        <v>0</v>
      </c>
      <c r="AS539" s="371">
        <f t="shared" si="2542"/>
        <v>9914.69</v>
      </c>
      <c r="AT539" s="371">
        <f t="shared" si="2542"/>
        <v>0</v>
      </c>
      <c r="AU539" s="371">
        <f t="shared" si="2542"/>
        <v>0</v>
      </c>
      <c r="AV539" s="371">
        <f t="shared" si="2542"/>
        <v>13727.24</v>
      </c>
      <c r="AW539" s="371">
        <f t="shared" si="2542"/>
        <v>0</v>
      </c>
      <c r="AX539" s="371">
        <f t="shared" si="2542"/>
        <v>0</v>
      </c>
      <c r="AY539" s="371">
        <f t="shared" si="2542"/>
        <v>11640.91</v>
      </c>
      <c r="AZ539" s="371">
        <f t="shared" si="2542"/>
        <v>0</v>
      </c>
      <c r="BA539" s="371">
        <f t="shared" si="2542"/>
        <v>0</v>
      </c>
      <c r="BB539" s="371">
        <f t="shared" si="2542"/>
        <v>16113.4</v>
      </c>
      <c r="BC539" s="371">
        <f t="shared" si="2542"/>
        <v>0</v>
      </c>
      <c r="BD539" s="371">
        <f t="shared" si="2542"/>
        <v>0</v>
      </c>
      <c r="BE539" s="371">
        <f t="shared" si="2542"/>
        <v>18495.78</v>
      </c>
      <c r="BF539" s="371">
        <f t="shared" si="2542"/>
        <v>0</v>
      </c>
      <c r="BG539" s="371">
        <f t="shared" si="2542"/>
        <v>0</v>
      </c>
      <c r="BH539" s="371">
        <f t="shared" si="2542"/>
        <v>14100</v>
      </c>
      <c r="BI539" s="371">
        <f t="shared" si="2542"/>
        <v>0</v>
      </c>
      <c r="BJ539" s="371">
        <f t="shared" si="2542"/>
        <v>0</v>
      </c>
      <c r="BK539" s="371">
        <f t="shared" si="2542"/>
        <v>103353.98999999999</v>
      </c>
      <c r="BL539" s="371">
        <f t="shared" si="2542"/>
        <v>0</v>
      </c>
      <c r="BM539" s="371">
        <f t="shared" si="2542"/>
        <v>0</v>
      </c>
      <c r="BN539" s="371">
        <f t="shared" si="2542"/>
        <v>0</v>
      </c>
      <c r="BO539" s="371">
        <f t="shared" si="2542"/>
        <v>0</v>
      </c>
      <c r="BP539" s="371">
        <f t="shared" si="2542"/>
        <v>0</v>
      </c>
      <c r="BQ539" s="371">
        <f t="shared" si="2542"/>
        <v>1320</v>
      </c>
      <c r="BR539" s="371">
        <f t="shared" si="2542"/>
        <v>0</v>
      </c>
      <c r="BS539" s="371">
        <f t="shared" si="2542"/>
        <v>1320</v>
      </c>
      <c r="BT539" s="371">
        <f t="shared" si="2542"/>
        <v>0</v>
      </c>
      <c r="BU539" s="371">
        <f t="shared" si="2542"/>
        <v>0</v>
      </c>
      <c r="BV539" s="371">
        <f t="shared" si="2542"/>
        <v>1320</v>
      </c>
      <c r="BW539" s="371">
        <f t="shared" si="2542"/>
        <v>1320</v>
      </c>
      <c r="BX539" s="1"/>
      <c r="BY539" s="1"/>
      <c r="BZ539" s="1"/>
      <c r="CA539" s="1"/>
      <c r="CB539" s="1"/>
      <c r="CC539" s="1"/>
      <c r="CD539" s="1"/>
      <c r="CE539" s="1"/>
      <c r="CF539" s="1"/>
      <c r="CG539" s="1"/>
    </row>
    <row r="540" spans="1:85" ht="15.75" customHeight="1">
      <c r="A540" s="326"/>
      <c r="B540" s="354"/>
      <c r="C540" s="328"/>
      <c r="D540" s="400" t="s">
        <v>844</v>
      </c>
      <c r="E540" s="330">
        <f t="shared" ref="E540:H540" si="2543">E541+E544+E551</f>
        <v>69432.98</v>
      </c>
      <c r="F540" s="344">
        <f t="shared" si="2543"/>
        <v>7568.19</v>
      </c>
      <c r="G540" s="344">
        <f t="shared" si="2543"/>
        <v>61864.789999999994</v>
      </c>
      <c r="H540" s="344">
        <f t="shared" si="2543"/>
        <v>0</v>
      </c>
      <c r="I540" s="331">
        <f t="shared" si="2387"/>
        <v>1.2563332066592321</v>
      </c>
      <c r="J540" s="331">
        <f t="shared" si="2388"/>
        <v>1.2563332066592321</v>
      </c>
      <c r="K540" s="344">
        <f t="shared" ref="K540:W540" si="2544">K541+K544+K551</f>
        <v>77722.789999999994</v>
      </c>
      <c r="L540" s="344">
        <f t="shared" si="2544"/>
        <v>1488</v>
      </c>
      <c r="M540" s="344">
        <f t="shared" si="2544"/>
        <v>1488</v>
      </c>
      <c r="N540" s="344">
        <f t="shared" si="2544"/>
        <v>0</v>
      </c>
      <c r="O540" s="344">
        <f t="shared" si="2544"/>
        <v>77722.789999999994</v>
      </c>
      <c r="P540" s="344">
        <f t="shared" si="2544"/>
        <v>0</v>
      </c>
      <c r="Q540" s="344">
        <f t="shared" si="2544"/>
        <v>0</v>
      </c>
      <c r="R540" s="344">
        <f t="shared" si="2544"/>
        <v>77722.789999999994</v>
      </c>
      <c r="S540" s="344">
        <f t="shared" si="2544"/>
        <v>0</v>
      </c>
      <c r="T540" s="344">
        <f t="shared" si="2544"/>
        <v>0</v>
      </c>
      <c r="U540" s="344">
        <f t="shared" si="2544"/>
        <v>0</v>
      </c>
      <c r="V540" s="344">
        <f t="shared" si="2544"/>
        <v>0</v>
      </c>
      <c r="W540" s="344">
        <f t="shared" si="2544"/>
        <v>0</v>
      </c>
      <c r="X540" s="332">
        <f t="shared" ref="X540:Y540" si="2545">IF(O540&gt;0,O540/K540,0)</f>
        <v>1</v>
      </c>
      <c r="Y540" s="332">
        <f t="shared" si="2545"/>
        <v>0</v>
      </c>
      <c r="Z540" s="332">
        <f t="shared" si="2391"/>
        <v>0</v>
      </c>
      <c r="AA540" s="344">
        <f t="shared" ref="AA540:BW540" si="2546">AA541+AA544+AA551</f>
        <v>0</v>
      </c>
      <c r="AB540" s="344">
        <f t="shared" si="2546"/>
        <v>0</v>
      </c>
      <c r="AC540" s="344">
        <f t="shared" si="2546"/>
        <v>0</v>
      </c>
      <c r="AD540" s="344">
        <f t="shared" si="2546"/>
        <v>0</v>
      </c>
      <c r="AE540" s="344">
        <f t="shared" si="2546"/>
        <v>0</v>
      </c>
      <c r="AF540" s="344">
        <f t="shared" si="2546"/>
        <v>0</v>
      </c>
      <c r="AG540" s="344">
        <f t="shared" si="2546"/>
        <v>0</v>
      </c>
      <c r="AH540" s="344">
        <f t="shared" si="2546"/>
        <v>0</v>
      </c>
      <c r="AI540" s="344">
        <f t="shared" si="2546"/>
        <v>0</v>
      </c>
      <c r="AJ540" s="344">
        <f t="shared" si="2546"/>
        <v>0</v>
      </c>
      <c r="AK540" s="344">
        <f t="shared" si="2546"/>
        <v>0</v>
      </c>
      <c r="AL540" s="344">
        <f t="shared" si="2546"/>
        <v>0</v>
      </c>
      <c r="AM540" s="344">
        <f t="shared" si="2546"/>
        <v>830.75</v>
      </c>
      <c r="AN540" s="344">
        <f t="shared" si="2546"/>
        <v>0</v>
      </c>
      <c r="AO540" s="344">
        <f t="shared" si="2546"/>
        <v>0</v>
      </c>
      <c r="AP540" s="344">
        <f t="shared" si="2546"/>
        <v>18531.22</v>
      </c>
      <c r="AQ540" s="344">
        <f t="shared" si="2546"/>
        <v>0</v>
      </c>
      <c r="AR540" s="344">
        <f t="shared" si="2546"/>
        <v>0</v>
      </c>
      <c r="AS540" s="344">
        <f t="shared" si="2546"/>
        <v>9914.69</v>
      </c>
      <c r="AT540" s="344">
        <f t="shared" si="2546"/>
        <v>0</v>
      </c>
      <c r="AU540" s="344">
        <f t="shared" si="2546"/>
        <v>0</v>
      </c>
      <c r="AV540" s="344">
        <f t="shared" si="2546"/>
        <v>10227.24</v>
      </c>
      <c r="AW540" s="344">
        <f t="shared" si="2546"/>
        <v>0</v>
      </c>
      <c r="AX540" s="344">
        <f t="shared" si="2546"/>
        <v>0</v>
      </c>
      <c r="AY540" s="344">
        <f t="shared" si="2546"/>
        <v>8709.7099999999991</v>
      </c>
      <c r="AZ540" s="344">
        <f t="shared" si="2546"/>
        <v>0</v>
      </c>
      <c r="BA540" s="344">
        <f t="shared" si="2546"/>
        <v>0</v>
      </c>
      <c r="BB540" s="344">
        <f t="shared" si="2546"/>
        <v>9453.4</v>
      </c>
      <c r="BC540" s="344">
        <f t="shared" si="2546"/>
        <v>0</v>
      </c>
      <c r="BD540" s="344">
        <f t="shared" si="2546"/>
        <v>0</v>
      </c>
      <c r="BE540" s="344">
        <f t="shared" si="2546"/>
        <v>12555.78</v>
      </c>
      <c r="BF540" s="344">
        <f t="shared" si="2546"/>
        <v>0</v>
      </c>
      <c r="BG540" s="344">
        <f t="shared" si="2546"/>
        <v>0</v>
      </c>
      <c r="BH540" s="344">
        <f t="shared" si="2546"/>
        <v>7500</v>
      </c>
      <c r="BI540" s="344">
        <f t="shared" si="2546"/>
        <v>0</v>
      </c>
      <c r="BJ540" s="344">
        <f t="shared" si="2546"/>
        <v>0</v>
      </c>
      <c r="BK540" s="344">
        <f t="shared" si="2546"/>
        <v>77722.789999999994</v>
      </c>
      <c r="BL540" s="344">
        <f t="shared" si="2546"/>
        <v>0</v>
      </c>
      <c r="BM540" s="344">
        <f t="shared" si="2546"/>
        <v>0</v>
      </c>
      <c r="BN540" s="344">
        <f t="shared" si="2546"/>
        <v>0</v>
      </c>
      <c r="BO540" s="344">
        <f t="shared" si="2546"/>
        <v>0</v>
      </c>
      <c r="BP540" s="344">
        <f t="shared" si="2546"/>
        <v>0</v>
      </c>
      <c r="BQ540" s="344">
        <f t="shared" si="2546"/>
        <v>0</v>
      </c>
      <c r="BR540" s="344">
        <f t="shared" si="2546"/>
        <v>0</v>
      </c>
      <c r="BS540" s="344">
        <f t="shared" si="2546"/>
        <v>0</v>
      </c>
      <c r="BT540" s="344">
        <f t="shared" si="2546"/>
        <v>0</v>
      </c>
      <c r="BU540" s="344">
        <f t="shared" si="2546"/>
        <v>0</v>
      </c>
      <c r="BV540" s="344">
        <f t="shared" si="2546"/>
        <v>0</v>
      </c>
      <c r="BW540" s="344">
        <f t="shared" si="2546"/>
        <v>0</v>
      </c>
      <c r="BX540" s="1"/>
      <c r="BY540" s="1"/>
      <c r="BZ540" s="1"/>
      <c r="CA540" s="1"/>
      <c r="CB540" s="1"/>
      <c r="CC540" s="1"/>
      <c r="CD540" s="1"/>
      <c r="CE540" s="1"/>
      <c r="CF540" s="1"/>
      <c r="CG540" s="1"/>
    </row>
    <row r="541" spans="1:85" ht="15.75">
      <c r="A541" s="355"/>
      <c r="B541" s="356"/>
      <c r="C541" s="357"/>
      <c r="D541" s="57" t="s">
        <v>116</v>
      </c>
      <c r="E541" s="286">
        <f t="shared" ref="E541:H541" si="2547">SUM(E542:E543)</f>
        <v>7432.98</v>
      </c>
      <c r="F541" s="362">
        <f t="shared" si="2547"/>
        <v>0</v>
      </c>
      <c r="G541" s="362">
        <f t="shared" si="2547"/>
        <v>7432.98</v>
      </c>
      <c r="H541" s="362">
        <f t="shared" si="2547"/>
        <v>0</v>
      </c>
      <c r="I541" s="287">
        <f t="shared" si="2387"/>
        <v>0.93095770471600903</v>
      </c>
      <c r="J541" s="287">
        <f t="shared" si="2388"/>
        <v>0.93095770471600903</v>
      </c>
      <c r="K541" s="362">
        <f t="shared" ref="K541:W541" si="2548">SUM(K542:K543)</f>
        <v>6919.79</v>
      </c>
      <c r="L541" s="362">
        <f t="shared" si="2548"/>
        <v>0</v>
      </c>
      <c r="M541" s="362">
        <f t="shared" si="2548"/>
        <v>0</v>
      </c>
      <c r="N541" s="362">
        <f t="shared" si="2548"/>
        <v>0</v>
      </c>
      <c r="O541" s="362">
        <f t="shared" si="2548"/>
        <v>6919.79</v>
      </c>
      <c r="P541" s="362">
        <f t="shared" si="2548"/>
        <v>0</v>
      </c>
      <c r="Q541" s="362">
        <f t="shared" si="2548"/>
        <v>0</v>
      </c>
      <c r="R541" s="362">
        <f t="shared" si="2548"/>
        <v>6919.79</v>
      </c>
      <c r="S541" s="362">
        <f t="shared" si="2548"/>
        <v>0</v>
      </c>
      <c r="T541" s="362">
        <f t="shared" si="2548"/>
        <v>0</v>
      </c>
      <c r="U541" s="362">
        <f t="shared" si="2548"/>
        <v>0</v>
      </c>
      <c r="V541" s="362">
        <f t="shared" si="2548"/>
        <v>0</v>
      </c>
      <c r="W541" s="362">
        <f t="shared" si="2548"/>
        <v>0</v>
      </c>
      <c r="X541" s="288">
        <f t="shared" ref="X541:Y541" si="2549">IF(O541&gt;0,O541/K541,0)</f>
        <v>1</v>
      </c>
      <c r="Y541" s="288">
        <f t="shared" si="2549"/>
        <v>0</v>
      </c>
      <c r="Z541" s="288">
        <f t="shared" si="2391"/>
        <v>0</v>
      </c>
      <c r="AA541" s="362">
        <f t="shared" ref="AA541:BW541" si="2550">SUM(AA542:AA543)</f>
        <v>0</v>
      </c>
      <c r="AB541" s="362">
        <f t="shared" si="2550"/>
        <v>0</v>
      </c>
      <c r="AC541" s="362">
        <f t="shared" si="2550"/>
        <v>0</v>
      </c>
      <c r="AD541" s="362">
        <f t="shared" si="2550"/>
        <v>0</v>
      </c>
      <c r="AE541" s="362">
        <f t="shared" si="2550"/>
        <v>0</v>
      </c>
      <c r="AF541" s="362">
        <f t="shared" si="2550"/>
        <v>0</v>
      </c>
      <c r="AG541" s="362">
        <f t="shared" si="2550"/>
        <v>0</v>
      </c>
      <c r="AH541" s="362">
        <f t="shared" si="2550"/>
        <v>0</v>
      </c>
      <c r="AI541" s="362">
        <f t="shared" si="2550"/>
        <v>0</v>
      </c>
      <c r="AJ541" s="362">
        <f t="shared" si="2550"/>
        <v>0</v>
      </c>
      <c r="AK541" s="362">
        <f t="shared" si="2550"/>
        <v>0</v>
      </c>
      <c r="AL541" s="362">
        <f t="shared" si="2550"/>
        <v>0</v>
      </c>
      <c r="AM541" s="362">
        <f t="shared" si="2550"/>
        <v>830.75</v>
      </c>
      <c r="AN541" s="362">
        <f t="shared" si="2550"/>
        <v>0</v>
      </c>
      <c r="AO541" s="362">
        <f t="shared" si="2550"/>
        <v>0</v>
      </c>
      <c r="AP541" s="362">
        <f t="shared" si="2550"/>
        <v>631.22</v>
      </c>
      <c r="AQ541" s="362">
        <f t="shared" si="2550"/>
        <v>0</v>
      </c>
      <c r="AR541" s="362">
        <f t="shared" si="2550"/>
        <v>0</v>
      </c>
      <c r="AS541" s="362">
        <f t="shared" si="2550"/>
        <v>1714.69</v>
      </c>
      <c r="AT541" s="362">
        <f t="shared" si="2550"/>
        <v>0</v>
      </c>
      <c r="AU541" s="362">
        <f t="shared" si="2550"/>
        <v>0</v>
      </c>
      <c r="AV541" s="362">
        <f t="shared" si="2550"/>
        <v>1402.2400000000002</v>
      </c>
      <c r="AW541" s="362">
        <f t="shared" si="2550"/>
        <v>0</v>
      </c>
      <c r="AX541" s="362">
        <f t="shared" si="2550"/>
        <v>0</v>
      </c>
      <c r="AY541" s="362">
        <f t="shared" si="2550"/>
        <v>409.71</v>
      </c>
      <c r="AZ541" s="362">
        <f t="shared" si="2550"/>
        <v>0</v>
      </c>
      <c r="BA541" s="362">
        <f t="shared" si="2550"/>
        <v>0</v>
      </c>
      <c r="BB541" s="362">
        <f t="shared" si="2550"/>
        <v>1153.4000000000001</v>
      </c>
      <c r="BC541" s="362">
        <f t="shared" si="2550"/>
        <v>0</v>
      </c>
      <c r="BD541" s="362">
        <f t="shared" si="2550"/>
        <v>0</v>
      </c>
      <c r="BE541" s="362">
        <f t="shared" si="2550"/>
        <v>777.78</v>
      </c>
      <c r="BF541" s="362">
        <f t="shared" si="2550"/>
        <v>0</v>
      </c>
      <c r="BG541" s="362">
        <f t="shared" si="2550"/>
        <v>0</v>
      </c>
      <c r="BH541" s="362">
        <f t="shared" si="2550"/>
        <v>0</v>
      </c>
      <c r="BI541" s="362">
        <f t="shared" si="2550"/>
        <v>0</v>
      </c>
      <c r="BJ541" s="362">
        <f t="shared" si="2550"/>
        <v>0</v>
      </c>
      <c r="BK541" s="362">
        <f t="shared" si="2550"/>
        <v>6919.79</v>
      </c>
      <c r="BL541" s="362">
        <f t="shared" si="2550"/>
        <v>0</v>
      </c>
      <c r="BM541" s="362">
        <f t="shared" si="2550"/>
        <v>0</v>
      </c>
      <c r="BN541" s="362">
        <f t="shared" si="2550"/>
        <v>0</v>
      </c>
      <c r="BO541" s="362">
        <f t="shared" si="2550"/>
        <v>0</v>
      </c>
      <c r="BP541" s="362">
        <f t="shared" si="2550"/>
        <v>0</v>
      </c>
      <c r="BQ541" s="362">
        <f t="shared" si="2550"/>
        <v>0</v>
      </c>
      <c r="BR541" s="362">
        <f t="shared" si="2550"/>
        <v>0</v>
      </c>
      <c r="BS541" s="362">
        <f t="shared" si="2550"/>
        <v>0</v>
      </c>
      <c r="BT541" s="362">
        <f t="shared" si="2550"/>
        <v>0</v>
      </c>
      <c r="BU541" s="362">
        <f t="shared" si="2550"/>
        <v>0</v>
      </c>
      <c r="BV541" s="362">
        <f t="shared" si="2550"/>
        <v>0</v>
      </c>
      <c r="BW541" s="362">
        <f t="shared" si="2550"/>
        <v>0</v>
      </c>
      <c r="BX541" s="1"/>
      <c r="BY541" s="1"/>
      <c r="BZ541" s="1"/>
      <c r="CA541" s="1"/>
      <c r="CB541" s="1"/>
      <c r="CC541" s="1"/>
      <c r="CD541" s="1"/>
      <c r="CE541" s="1"/>
      <c r="CF541" s="1"/>
      <c r="CG541" s="1"/>
    </row>
    <row r="542" spans="1:85" ht="15.75" customHeight="1">
      <c r="A542" s="125" t="s">
        <v>845</v>
      </c>
      <c r="B542" s="115"/>
      <c r="C542" s="86" t="s">
        <v>118</v>
      </c>
      <c r="D542" s="87" t="s">
        <v>846</v>
      </c>
      <c r="E542" s="70">
        <v>2432.98</v>
      </c>
      <c r="F542" s="93">
        <v>0</v>
      </c>
      <c r="G542" s="71">
        <f t="shared" ref="G542:G543" si="2551">E542-F542</f>
        <v>2432.98</v>
      </c>
      <c r="H542" s="70"/>
      <c r="I542" s="72">
        <f t="shared" si="2387"/>
        <v>2.8441623030193424</v>
      </c>
      <c r="J542" s="72">
        <f t="shared" si="2388"/>
        <v>2.8441623030193424</v>
      </c>
      <c r="K542" s="94">
        <f>1000+1000+1000+1000+969.87+2000+1000-1050.08</f>
        <v>6919.79</v>
      </c>
      <c r="L542" s="401"/>
      <c r="M542" s="81"/>
      <c r="N542" s="107"/>
      <c r="O542" s="77">
        <f t="shared" ref="O542:Q542" si="2552">AA542+AD542+AG542+AJ542+AM542+AP542+AS542+AV542+AY542+BB542+BE542+BH542</f>
        <v>6919.79</v>
      </c>
      <c r="P542" s="77">
        <f t="shared" si="2552"/>
        <v>0</v>
      </c>
      <c r="Q542" s="77">
        <f t="shared" si="2552"/>
        <v>0</v>
      </c>
      <c r="R542" s="77">
        <f t="shared" ref="R542:T542" si="2553">IF(BK542=0,SUM(AA542+AD542+AG542+AJ542+AM542+AP542+AS542+AV542+AY542+BB542+BE542+BH542),BK542)</f>
        <v>6919.79</v>
      </c>
      <c r="S542" s="77">
        <f t="shared" si="2553"/>
        <v>0</v>
      </c>
      <c r="T542" s="77">
        <f t="shared" si="2553"/>
        <v>0</v>
      </c>
      <c r="U542" s="78">
        <f t="shared" ref="U542:U543" si="2554">K542-O542</f>
        <v>0</v>
      </c>
      <c r="V542" s="79">
        <f t="shared" ref="V542:V543" si="2555">L542-M542-S542</f>
        <v>0</v>
      </c>
      <c r="W542" s="79">
        <f t="shared" ref="W542:W543" si="2556">N542-Q542</f>
        <v>0</v>
      </c>
      <c r="X542" s="80">
        <f t="shared" ref="X542:Y542" si="2557">IF(O542&gt;0,O542/K542,0)</f>
        <v>1</v>
      </c>
      <c r="Y542" s="80">
        <f t="shared" si="2557"/>
        <v>0</v>
      </c>
      <c r="Z542" s="80">
        <f t="shared" si="2391"/>
        <v>0</v>
      </c>
      <c r="AA542" s="81"/>
      <c r="AB542" s="81"/>
      <c r="AC542" s="81"/>
      <c r="AD542" s="81"/>
      <c r="AE542" s="83"/>
      <c r="AF542" s="83"/>
      <c r="AG542" s="83"/>
      <c r="AH542" s="83"/>
      <c r="AI542" s="81"/>
      <c r="AJ542" s="81"/>
      <c r="AK542" s="81"/>
      <c r="AL542" s="81"/>
      <c r="AM542" s="81">
        <f>368.58+186.56+275.61</f>
        <v>830.75</v>
      </c>
      <c r="AN542" s="81"/>
      <c r="AO542" s="81"/>
      <c r="AP542" s="81">
        <f>67.68+563.54</f>
        <v>631.22</v>
      </c>
      <c r="AQ542" s="81"/>
      <c r="AR542" s="81"/>
      <c r="AS542" s="81">
        <f>235.5+242.62+374.71+371.15+490.71</f>
        <v>1714.69</v>
      </c>
      <c r="AT542" s="81"/>
      <c r="AU542" s="81"/>
      <c r="AV542" s="81">
        <f>173.11+969.87+129.63+129.63</f>
        <v>1402.2400000000002</v>
      </c>
      <c r="AW542" s="81"/>
      <c r="AX542" s="81"/>
      <c r="AY542" s="81">
        <f>409.71</f>
        <v>409.71</v>
      </c>
      <c r="AZ542" s="81"/>
      <c r="BA542" s="81"/>
      <c r="BB542" s="81">
        <f>704.33+149.69+149.69+149.69</f>
        <v>1153.4000000000001</v>
      </c>
      <c r="BC542" s="81"/>
      <c r="BD542" s="81"/>
      <c r="BE542" s="81">
        <f>129.63*6</f>
        <v>777.78</v>
      </c>
      <c r="BF542" s="81"/>
      <c r="BG542" s="81"/>
      <c r="BH542" s="81"/>
      <c r="BI542" s="81"/>
      <c r="BJ542" s="81"/>
      <c r="BK542" s="82">
        <v>6919.79</v>
      </c>
      <c r="BL542" s="82">
        <v>0</v>
      </c>
      <c r="BM542" s="82">
        <v>0</v>
      </c>
      <c r="BN542" s="81">
        <f t="shared" ref="BN542:BN543" si="2558">IF(O542-BK542&gt;0,O542-BK542,0)</f>
        <v>0</v>
      </c>
      <c r="BO542" s="75">
        <f t="shared" ref="BO542:BO543" si="2559">IF(Q542-BM542&gt;0,Q542-BM542,0)</f>
        <v>0</v>
      </c>
      <c r="BP542" s="81">
        <f t="shared" ref="BP542:BP543" si="2560">IF(BN542+BO542&gt;0,BN542+BO542,0)</f>
        <v>0</v>
      </c>
      <c r="BQ542" s="81">
        <f t="shared" ref="BQ542:BQ543" si="2561">IF(U542=0,0,U542)</f>
        <v>0</v>
      </c>
      <c r="BR542" s="81">
        <f t="shared" ref="BR542:BR543" si="2562">IF(W542=0,0,W542)</f>
        <v>0</v>
      </c>
      <c r="BS542" s="81">
        <f t="shared" ref="BS542:BS543" si="2563">IF(BQ542+BR542&gt;0,BQ542+BR542,0)</f>
        <v>0</v>
      </c>
      <c r="BT542" s="81">
        <f t="shared" ref="BT542:BT543" si="2564">IF(V542&gt;0,V542,0)</f>
        <v>0</v>
      </c>
      <c r="BU542" s="81">
        <f t="shared" ref="BU542:BU543" si="2565">IF(BP542=0,0,BP542)</f>
        <v>0</v>
      </c>
      <c r="BV542" s="81">
        <f t="shared" ref="BV542:BV543" si="2566">IF(BS542=0,0,BS542)</f>
        <v>0</v>
      </c>
      <c r="BW542" s="81">
        <f t="shared" ref="BW542:BW543" si="2567">IF(BP542+BT542+BV542&gt;0,BP542+BT542+BV542,0)</f>
        <v>0</v>
      </c>
      <c r="BX542" s="1"/>
      <c r="BY542" s="1"/>
      <c r="BZ542" s="1"/>
      <c r="CA542" s="1"/>
      <c r="CB542" s="1"/>
      <c r="CC542" s="1"/>
      <c r="CD542" s="1"/>
      <c r="CE542" s="1"/>
      <c r="CF542" s="1"/>
      <c r="CG542" s="1"/>
    </row>
    <row r="543" spans="1:85" ht="15.75" customHeight="1">
      <c r="A543" s="84"/>
      <c r="B543" s="115"/>
      <c r="C543" s="86" t="s">
        <v>118</v>
      </c>
      <c r="D543" s="87" t="s">
        <v>835</v>
      </c>
      <c r="E543" s="70">
        <v>5000</v>
      </c>
      <c r="F543" s="71"/>
      <c r="G543" s="71">
        <f t="shared" si="2551"/>
        <v>5000</v>
      </c>
      <c r="H543" s="70"/>
      <c r="I543" s="72">
        <f t="shared" si="2387"/>
        <v>0</v>
      </c>
      <c r="J543" s="72">
        <f t="shared" si="2388"/>
        <v>0</v>
      </c>
      <c r="K543" s="76"/>
      <c r="L543" s="401"/>
      <c r="M543" s="81"/>
      <c r="N543" s="107"/>
      <c r="O543" s="77">
        <f t="shared" ref="O543:Q543" si="2568">AA543+AD543+AG543+AJ543+AM543+AP543+AS543+AV543+AY543+BB543+BE543+BH543</f>
        <v>0</v>
      </c>
      <c r="P543" s="77">
        <f t="shared" si="2568"/>
        <v>0</v>
      </c>
      <c r="Q543" s="77">
        <f t="shared" si="2568"/>
        <v>0</v>
      </c>
      <c r="R543" s="77">
        <f t="shared" ref="R543:T543" si="2569">IF(BK543=0,SUM(AA543+AD543+AG543+AJ543+AM543+AP543+AS543+AV543+AY543+BB543+BE543+BH543),BK543)</f>
        <v>0</v>
      </c>
      <c r="S543" s="77">
        <f t="shared" si="2569"/>
        <v>0</v>
      </c>
      <c r="T543" s="77">
        <f t="shared" si="2569"/>
        <v>0</v>
      </c>
      <c r="U543" s="79">
        <f t="shared" si="2554"/>
        <v>0</v>
      </c>
      <c r="V543" s="79">
        <f t="shared" si="2555"/>
        <v>0</v>
      </c>
      <c r="W543" s="79">
        <f t="shared" si="2556"/>
        <v>0</v>
      </c>
      <c r="X543" s="80">
        <f t="shared" ref="X543:Y543" si="2570">IF(O543&gt;0,O543/K543,0)</f>
        <v>0</v>
      </c>
      <c r="Y543" s="80">
        <f t="shared" si="2570"/>
        <v>0</v>
      </c>
      <c r="Z543" s="80">
        <f t="shared" si="2391"/>
        <v>0</v>
      </c>
      <c r="AA543" s="81"/>
      <c r="AB543" s="81"/>
      <c r="AC543" s="81"/>
      <c r="AD543" s="81"/>
      <c r="AE543" s="83"/>
      <c r="AF543" s="83"/>
      <c r="AG543" s="83"/>
      <c r="AH543" s="83"/>
      <c r="AI543" s="81"/>
      <c r="AJ543" s="81"/>
      <c r="AK543" s="81"/>
      <c r="AL543" s="81"/>
      <c r="AM543" s="81"/>
      <c r="AN543" s="81"/>
      <c r="AO543" s="81"/>
      <c r="AP543" s="81"/>
      <c r="AQ543" s="81"/>
      <c r="AR543" s="81"/>
      <c r="AS543" s="81"/>
      <c r="AT543" s="81"/>
      <c r="AU543" s="81"/>
      <c r="AV543" s="81"/>
      <c r="AW543" s="81"/>
      <c r="AX543" s="81"/>
      <c r="AY543" s="81"/>
      <c r="AZ543" s="81"/>
      <c r="BA543" s="81"/>
      <c r="BB543" s="81"/>
      <c r="BC543" s="81"/>
      <c r="BD543" s="81"/>
      <c r="BE543" s="81"/>
      <c r="BF543" s="81"/>
      <c r="BG543" s="81"/>
      <c r="BH543" s="81"/>
      <c r="BI543" s="81"/>
      <c r="BJ543" s="81"/>
      <c r="BK543" s="82">
        <v>0</v>
      </c>
      <c r="BL543" s="82">
        <v>0</v>
      </c>
      <c r="BM543" s="82">
        <v>0</v>
      </c>
      <c r="BN543" s="81">
        <f t="shared" si="2558"/>
        <v>0</v>
      </c>
      <c r="BO543" s="75">
        <f t="shared" si="2559"/>
        <v>0</v>
      </c>
      <c r="BP543" s="81">
        <f t="shared" si="2560"/>
        <v>0</v>
      </c>
      <c r="BQ543" s="81">
        <f t="shared" si="2561"/>
        <v>0</v>
      </c>
      <c r="BR543" s="81">
        <f t="shared" si="2562"/>
        <v>0</v>
      </c>
      <c r="BS543" s="81">
        <f t="shared" si="2563"/>
        <v>0</v>
      </c>
      <c r="BT543" s="81">
        <f t="shared" si="2564"/>
        <v>0</v>
      </c>
      <c r="BU543" s="81">
        <f t="shared" si="2565"/>
        <v>0</v>
      </c>
      <c r="BV543" s="81">
        <f t="shared" si="2566"/>
        <v>0</v>
      </c>
      <c r="BW543" s="81">
        <f t="shared" si="2567"/>
        <v>0</v>
      </c>
      <c r="BX543" s="1"/>
      <c r="BY543" s="1"/>
      <c r="BZ543" s="1"/>
      <c r="CA543" s="1"/>
      <c r="CB543" s="1"/>
      <c r="CC543" s="1"/>
      <c r="CD543" s="1"/>
      <c r="CE543" s="1"/>
      <c r="CF543" s="1"/>
      <c r="CG543" s="1"/>
    </row>
    <row r="544" spans="1:85" ht="15.75">
      <c r="A544" s="109"/>
      <c r="B544" s="110"/>
      <c r="C544" s="111"/>
      <c r="D544" s="112" t="s">
        <v>632</v>
      </c>
      <c r="E544" s="58">
        <f t="shared" ref="E544:H544" si="2571">SUM(E545:E550)</f>
        <v>62000</v>
      </c>
      <c r="F544" s="58">
        <f t="shared" si="2571"/>
        <v>7568.19</v>
      </c>
      <c r="G544" s="58">
        <f t="shared" si="2571"/>
        <v>54431.81</v>
      </c>
      <c r="H544" s="58">
        <f t="shared" si="2571"/>
        <v>0</v>
      </c>
      <c r="I544" s="60">
        <f t="shared" si="2387"/>
        <v>1.2327350495969178</v>
      </c>
      <c r="J544" s="60">
        <f t="shared" si="2388"/>
        <v>1.2327350495969178</v>
      </c>
      <c r="K544" s="58">
        <f t="shared" ref="K544:W544" si="2572">SUM(K545:K550)</f>
        <v>67100</v>
      </c>
      <c r="L544" s="58">
        <f t="shared" si="2572"/>
        <v>0</v>
      </c>
      <c r="M544" s="58">
        <f t="shared" si="2572"/>
        <v>0</v>
      </c>
      <c r="N544" s="58">
        <f t="shared" si="2572"/>
        <v>0</v>
      </c>
      <c r="O544" s="58">
        <f t="shared" si="2572"/>
        <v>67100</v>
      </c>
      <c r="P544" s="58">
        <f t="shared" si="2572"/>
        <v>0</v>
      </c>
      <c r="Q544" s="58">
        <f t="shared" si="2572"/>
        <v>0</v>
      </c>
      <c r="R544" s="58">
        <f t="shared" si="2572"/>
        <v>67100</v>
      </c>
      <c r="S544" s="58">
        <f t="shared" si="2572"/>
        <v>0</v>
      </c>
      <c r="T544" s="58">
        <f t="shared" si="2572"/>
        <v>0</v>
      </c>
      <c r="U544" s="58">
        <f t="shared" si="2572"/>
        <v>0</v>
      </c>
      <c r="V544" s="58">
        <f t="shared" si="2572"/>
        <v>0</v>
      </c>
      <c r="W544" s="58">
        <f t="shared" si="2572"/>
        <v>0</v>
      </c>
      <c r="X544" s="63">
        <f t="shared" ref="X544:Y544" si="2573">IF(O544&gt;0,O544/K544,0)</f>
        <v>1</v>
      </c>
      <c r="Y544" s="63">
        <f t="shared" si="2573"/>
        <v>0</v>
      </c>
      <c r="Z544" s="63">
        <f t="shared" si="2391"/>
        <v>0</v>
      </c>
      <c r="AA544" s="58">
        <f t="shared" ref="AA544:BW544" si="2574">SUM(AA545:AA550)</f>
        <v>0</v>
      </c>
      <c r="AB544" s="58">
        <f t="shared" si="2574"/>
        <v>0</v>
      </c>
      <c r="AC544" s="58">
        <f t="shared" si="2574"/>
        <v>0</v>
      </c>
      <c r="AD544" s="58">
        <f t="shared" si="2574"/>
        <v>0</v>
      </c>
      <c r="AE544" s="58">
        <f t="shared" si="2574"/>
        <v>0</v>
      </c>
      <c r="AF544" s="58">
        <f t="shared" si="2574"/>
        <v>0</v>
      </c>
      <c r="AG544" s="58">
        <f t="shared" si="2574"/>
        <v>0</v>
      </c>
      <c r="AH544" s="58">
        <f t="shared" si="2574"/>
        <v>0</v>
      </c>
      <c r="AI544" s="58">
        <f t="shared" si="2574"/>
        <v>0</v>
      </c>
      <c r="AJ544" s="58">
        <f t="shared" si="2574"/>
        <v>0</v>
      </c>
      <c r="AK544" s="58">
        <f t="shared" si="2574"/>
        <v>0</v>
      </c>
      <c r="AL544" s="58">
        <f t="shared" si="2574"/>
        <v>0</v>
      </c>
      <c r="AM544" s="58">
        <f t="shared" si="2574"/>
        <v>0</v>
      </c>
      <c r="AN544" s="58">
        <f t="shared" si="2574"/>
        <v>0</v>
      </c>
      <c r="AO544" s="58">
        <f t="shared" si="2574"/>
        <v>0</v>
      </c>
      <c r="AP544" s="58">
        <f t="shared" si="2574"/>
        <v>17900</v>
      </c>
      <c r="AQ544" s="58">
        <f t="shared" si="2574"/>
        <v>0</v>
      </c>
      <c r="AR544" s="58">
        <f t="shared" si="2574"/>
        <v>0</v>
      </c>
      <c r="AS544" s="58">
        <f t="shared" si="2574"/>
        <v>8200</v>
      </c>
      <c r="AT544" s="58">
        <f t="shared" si="2574"/>
        <v>0</v>
      </c>
      <c r="AU544" s="58">
        <f t="shared" si="2574"/>
        <v>0</v>
      </c>
      <c r="AV544" s="58">
        <f t="shared" si="2574"/>
        <v>8300</v>
      </c>
      <c r="AW544" s="58">
        <f t="shared" si="2574"/>
        <v>0</v>
      </c>
      <c r="AX544" s="58">
        <f t="shared" si="2574"/>
        <v>0</v>
      </c>
      <c r="AY544" s="58">
        <f t="shared" si="2574"/>
        <v>8300</v>
      </c>
      <c r="AZ544" s="58">
        <f t="shared" si="2574"/>
        <v>0</v>
      </c>
      <c r="BA544" s="58">
        <f t="shared" si="2574"/>
        <v>0</v>
      </c>
      <c r="BB544" s="58">
        <f t="shared" si="2574"/>
        <v>8300</v>
      </c>
      <c r="BC544" s="58">
        <f t="shared" si="2574"/>
        <v>0</v>
      </c>
      <c r="BD544" s="58">
        <f t="shared" si="2574"/>
        <v>0</v>
      </c>
      <c r="BE544" s="58">
        <f t="shared" si="2574"/>
        <v>8600</v>
      </c>
      <c r="BF544" s="58">
        <f t="shared" si="2574"/>
        <v>0</v>
      </c>
      <c r="BG544" s="58">
        <f t="shared" si="2574"/>
        <v>0</v>
      </c>
      <c r="BH544" s="58">
        <f t="shared" si="2574"/>
        <v>7500</v>
      </c>
      <c r="BI544" s="58">
        <f t="shared" si="2574"/>
        <v>0</v>
      </c>
      <c r="BJ544" s="58">
        <f t="shared" si="2574"/>
        <v>0</v>
      </c>
      <c r="BK544" s="58">
        <f t="shared" si="2574"/>
        <v>67100</v>
      </c>
      <c r="BL544" s="58">
        <f t="shared" si="2574"/>
        <v>0</v>
      </c>
      <c r="BM544" s="58">
        <f t="shared" si="2574"/>
        <v>0</v>
      </c>
      <c r="BN544" s="58">
        <f t="shared" si="2574"/>
        <v>0</v>
      </c>
      <c r="BO544" s="58">
        <f t="shared" si="2574"/>
        <v>0</v>
      </c>
      <c r="BP544" s="58">
        <f t="shared" si="2574"/>
        <v>0</v>
      </c>
      <c r="BQ544" s="58">
        <f t="shared" si="2574"/>
        <v>0</v>
      </c>
      <c r="BR544" s="58">
        <f t="shared" si="2574"/>
        <v>0</v>
      </c>
      <c r="BS544" s="58">
        <f t="shared" si="2574"/>
        <v>0</v>
      </c>
      <c r="BT544" s="58">
        <f t="shared" si="2574"/>
        <v>0</v>
      </c>
      <c r="BU544" s="58">
        <f t="shared" si="2574"/>
        <v>0</v>
      </c>
      <c r="BV544" s="58">
        <f t="shared" si="2574"/>
        <v>0</v>
      </c>
      <c r="BW544" s="58">
        <f t="shared" si="2574"/>
        <v>0</v>
      </c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</row>
    <row r="545" spans="1:85" ht="15.75" customHeight="1">
      <c r="A545" s="125" t="s">
        <v>847</v>
      </c>
      <c r="B545" s="115"/>
      <c r="C545" s="86" t="s">
        <v>574</v>
      </c>
      <c r="D545" s="396" t="s">
        <v>848</v>
      </c>
      <c r="E545" s="70"/>
      <c r="F545" s="71"/>
      <c r="G545" s="71">
        <f t="shared" ref="G545:G550" si="2575">E545-F545</f>
        <v>0</v>
      </c>
      <c r="H545" s="70"/>
      <c r="I545" s="72">
        <f t="shared" si="2387"/>
        <v>0</v>
      </c>
      <c r="J545" s="72">
        <f t="shared" si="2388"/>
        <v>0</v>
      </c>
      <c r="K545" s="76">
        <f>55000+7600+2300+900-200</f>
        <v>65600</v>
      </c>
      <c r="L545" s="401"/>
      <c r="M545" s="81"/>
      <c r="N545" s="107"/>
      <c r="O545" s="77">
        <f t="shared" ref="O545:Q545" si="2576">AA545+AD545+AG545+AJ545+AM545+AP545+AS545+AV545+AY545+BB545+BE545+BH545</f>
        <v>65600</v>
      </c>
      <c r="P545" s="77">
        <f t="shared" si="2576"/>
        <v>0</v>
      </c>
      <c r="Q545" s="77">
        <f t="shared" si="2576"/>
        <v>0</v>
      </c>
      <c r="R545" s="77">
        <f t="shared" ref="R545:T545" si="2577">IF(BK545=0,SUM(AA545+AD545+AG545+AJ545+AM545+AP545+AS545+AV545+AY545+BB545+BE545+BH545),BK545)</f>
        <v>65600</v>
      </c>
      <c r="S545" s="77">
        <f t="shared" si="2577"/>
        <v>0</v>
      </c>
      <c r="T545" s="77">
        <f t="shared" si="2577"/>
        <v>0</v>
      </c>
      <c r="U545" s="78">
        <f t="shared" ref="U545:U550" si="2578">K545-O545</f>
        <v>0</v>
      </c>
      <c r="V545" s="79">
        <f t="shared" ref="V545:V550" si="2579">L545-M545-S545</f>
        <v>0</v>
      </c>
      <c r="W545" s="79">
        <f t="shared" ref="W545:W550" si="2580">N545-Q545</f>
        <v>0</v>
      </c>
      <c r="X545" s="80">
        <f t="shared" ref="X545:Y545" si="2581">IF(O545&gt;0,O545/K545,0)</f>
        <v>1</v>
      </c>
      <c r="Y545" s="80">
        <f t="shared" si="2581"/>
        <v>0</v>
      </c>
      <c r="Z545" s="80">
        <f t="shared" si="2391"/>
        <v>0</v>
      </c>
      <c r="AA545" s="81"/>
      <c r="AB545" s="81"/>
      <c r="AC545" s="81"/>
      <c r="AD545" s="81"/>
      <c r="AE545" s="83"/>
      <c r="AF545" s="83"/>
      <c r="AG545" s="83"/>
      <c r="AH545" s="83"/>
      <c r="AI545" s="81"/>
      <c r="AJ545" s="81"/>
      <c r="AK545" s="81"/>
      <c r="AL545" s="81"/>
      <c r="AM545" s="81"/>
      <c r="AN545" s="81"/>
      <c r="AO545" s="81"/>
      <c r="AP545" s="81">
        <f>600+400+300+6500+400+6500+400+600+300+400</f>
        <v>16400</v>
      </c>
      <c r="AQ545" s="81"/>
      <c r="AR545" s="81"/>
      <c r="AS545" s="81">
        <f>6500+400+400+600+300</f>
        <v>8200</v>
      </c>
      <c r="AT545" s="81"/>
      <c r="AU545" s="81"/>
      <c r="AV545" s="81">
        <f>400+300+600+400+6600</f>
        <v>8300</v>
      </c>
      <c r="AW545" s="81"/>
      <c r="AX545" s="81"/>
      <c r="AY545" s="81">
        <f>6600+400+600+300+400</f>
        <v>8300</v>
      </c>
      <c r="AZ545" s="81"/>
      <c r="BA545" s="81"/>
      <c r="BB545" s="81">
        <f>6600+400+600+300+400</f>
        <v>8300</v>
      </c>
      <c r="BC545" s="81"/>
      <c r="BD545" s="81"/>
      <c r="BE545" s="82">
        <f>7500+400+300+400</f>
        <v>8600</v>
      </c>
      <c r="BF545" s="81"/>
      <c r="BG545" s="81"/>
      <c r="BH545" s="81">
        <f>6600+400+300+400-6600+6400</f>
        <v>7500</v>
      </c>
      <c r="BI545" s="81"/>
      <c r="BJ545" s="81"/>
      <c r="BK545" s="82">
        <v>65600</v>
      </c>
      <c r="BL545" s="82">
        <v>0</v>
      </c>
      <c r="BM545" s="82">
        <v>0</v>
      </c>
      <c r="BN545" s="81">
        <f t="shared" ref="BN545:BN550" si="2582">IF(O545-BK545&gt;0,O545-BK545,0)</f>
        <v>0</v>
      </c>
      <c r="BO545" s="75">
        <f t="shared" ref="BO545:BO550" si="2583">IF(Q545-BM545&gt;0,Q545-BM545,0)</f>
        <v>0</v>
      </c>
      <c r="BP545" s="81">
        <f t="shared" ref="BP545:BP550" si="2584">IF(BN545+BO545&gt;0,BN545+BO545,0)</f>
        <v>0</v>
      </c>
      <c r="BQ545" s="81">
        <f t="shared" ref="BQ545:BQ550" si="2585">IF(U545=0,0,U545)</f>
        <v>0</v>
      </c>
      <c r="BR545" s="81">
        <f t="shared" ref="BR545:BR550" si="2586">IF(W545=0,0,W545)</f>
        <v>0</v>
      </c>
      <c r="BS545" s="81">
        <f t="shared" ref="BS545:BS550" si="2587">IF(BQ545+BR545&gt;0,BQ545+BR545,0)</f>
        <v>0</v>
      </c>
      <c r="BT545" s="81">
        <f t="shared" ref="BT545:BT550" si="2588">IF(V545&gt;0,V545,0)</f>
        <v>0</v>
      </c>
      <c r="BU545" s="81">
        <f t="shared" ref="BU545:BU550" si="2589">IF(BP545=0,0,BP545)</f>
        <v>0</v>
      </c>
      <c r="BV545" s="81">
        <f t="shared" ref="BV545:BV550" si="2590">IF(BS545=0,0,BS545)</f>
        <v>0</v>
      </c>
      <c r="BW545" s="81">
        <f t="shared" ref="BW545:BW550" si="2591">IF(BP545+BT545+BV545&gt;0,BP545+BT545+BV545,0)</f>
        <v>0</v>
      </c>
      <c r="BX545" s="1"/>
      <c r="BY545" s="1"/>
      <c r="BZ545" s="1"/>
      <c r="CA545" s="1"/>
      <c r="CB545" s="1"/>
      <c r="CC545" s="1"/>
      <c r="CD545" s="1"/>
      <c r="CE545" s="1"/>
      <c r="CF545" s="1"/>
      <c r="CG545" s="1"/>
    </row>
    <row r="546" spans="1:85" ht="15.75" customHeight="1">
      <c r="A546" s="84"/>
      <c r="B546" s="115"/>
      <c r="C546" s="86" t="s">
        <v>574</v>
      </c>
      <c r="D546" s="396" t="s">
        <v>849</v>
      </c>
      <c r="E546" s="70"/>
      <c r="F546" s="71"/>
      <c r="G546" s="71">
        <f t="shared" si="2575"/>
        <v>0</v>
      </c>
      <c r="H546" s="70"/>
      <c r="I546" s="72">
        <f t="shared" si="2387"/>
        <v>0</v>
      </c>
      <c r="J546" s="72">
        <f t="shared" si="2388"/>
        <v>0</v>
      </c>
      <c r="K546" s="76"/>
      <c r="L546" s="401"/>
      <c r="M546" s="81"/>
      <c r="N546" s="107"/>
      <c r="O546" s="77">
        <f t="shared" ref="O546:Q546" si="2592">AA546+AD546+AG546+AJ546+AM546+AP546+AS546+AV546+AY546+BB546+BE546+BH546</f>
        <v>0</v>
      </c>
      <c r="P546" s="77">
        <f t="shared" si="2592"/>
        <v>0</v>
      </c>
      <c r="Q546" s="77">
        <f t="shared" si="2592"/>
        <v>0</v>
      </c>
      <c r="R546" s="77">
        <f t="shared" ref="R546:T546" si="2593">IF(BK546=0,SUM(AA546+AD546+AG546+AJ546+AM546+AP546+AS546+AV546+AY546+BB546+BE546+BH546),BK546)</f>
        <v>0</v>
      </c>
      <c r="S546" s="77">
        <f t="shared" si="2593"/>
        <v>0</v>
      </c>
      <c r="T546" s="77">
        <f t="shared" si="2593"/>
        <v>0</v>
      </c>
      <c r="U546" s="79">
        <f t="shared" si="2578"/>
        <v>0</v>
      </c>
      <c r="V546" s="79">
        <f t="shared" si="2579"/>
        <v>0</v>
      </c>
      <c r="W546" s="79">
        <f t="shared" si="2580"/>
        <v>0</v>
      </c>
      <c r="X546" s="80">
        <f t="shared" ref="X546:Y546" si="2594">IF(O546&gt;0,O546/K546,0)</f>
        <v>0</v>
      </c>
      <c r="Y546" s="80">
        <f t="shared" si="2594"/>
        <v>0</v>
      </c>
      <c r="Z546" s="80">
        <f t="shared" si="2391"/>
        <v>0</v>
      </c>
      <c r="AA546" s="81"/>
      <c r="AB546" s="81"/>
      <c r="AC546" s="81"/>
      <c r="AD546" s="81"/>
      <c r="AE546" s="83"/>
      <c r="AF546" s="83"/>
      <c r="AG546" s="83"/>
      <c r="AH546" s="83"/>
      <c r="AI546" s="81"/>
      <c r="AJ546" s="81"/>
      <c r="AK546" s="81"/>
      <c r="AL546" s="81"/>
      <c r="AM546" s="81"/>
      <c r="AN546" s="81"/>
      <c r="AO546" s="81"/>
      <c r="AP546" s="81"/>
      <c r="AQ546" s="81"/>
      <c r="AR546" s="81"/>
      <c r="AS546" s="81"/>
      <c r="AT546" s="81"/>
      <c r="AU546" s="81"/>
      <c r="AV546" s="81"/>
      <c r="AW546" s="81"/>
      <c r="AX546" s="81"/>
      <c r="AY546" s="81"/>
      <c r="AZ546" s="81"/>
      <c r="BA546" s="81"/>
      <c r="BB546" s="81"/>
      <c r="BC546" s="81"/>
      <c r="BD546" s="81"/>
      <c r="BE546" s="81"/>
      <c r="BF546" s="81"/>
      <c r="BG546" s="81"/>
      <c r="BH546" s="81"/>
      <c r="BI546" s="81"/>
      <c r="BJ546" s="81"/>
      <c r="BK546" s="82">
        <v>0</v>
      </c>
      <c r="BL546" s="82">
        <v>0</v>
      </c>
      <c r="BM546" s="82">
        <v>0</v>
      </c>
      <c r="BN546" s="81">
        <f t="shared" si="2582"/>
        <v>0</v>
      </c>
      <c r="BO546" s="75">
        <f t="shared" si="2583"/>
        <v>0</v>
      </c>
      <c r="BP546" s="81">
        <f t="shared" si="2584"/>
        <v>0</v>
      </c>
      <c r="BQ546" s="81">
        <f t="shared" si="2585"/>
        <v>0</v>
      </c>
      <c r="BR546" s="81">
        <f t="shared" si="2586"/>
        <v>0</v>
      </c>
      <c r="BS546" s="81">
        <f t="shared" si="2587"/>
        <v>0</v>
      </c>
      <c r="BT546" s="81">
        <f t="shared" si="2588"/>
        <v>0</v>
      </c>
      <c r="BU546" s="81">
        <f t="shared" si="2589"/>
        <v>0</v>
      </c>
      <c r="BV546" s="81">
        <f t="shared" si="2590"/>
        <v>0</v>
      </c>
      <c r="BW546" s="81">
        <f t="shared" si="2591"/>
        <v>0</v>
      </c>
      <c r="BX546" s="1"/>
      <c r="BY546" s="1"/>
      <c r="BZ546" s="1"/>
      <c r="CA546" s="1"/>
      <c r="CB546" s="1"/>
      <c r="CC546" s="1"/>
      <c r="CD546" s="1"/>
      <c r="CE546" s="1"/>
      <c r="CF546" s="1"/>
      <c r="CG546" s="1"/>
    </row>
    <row r="547" spans="1:85" ht="15.75" customHeight="1">
      <c r="A547" s="84"/>
      <c r="B547" s="115"/>
      <c r="C547" s="86" t="s">
        <v>574</v>
      </c>
      <c r="D547" s="87" t="s">
        <v>850</v>
      </c>
      <c r="E547" s="70"/>
      <c r="F547" s="71"/>
      <c r="G547" s="71">
        <f t="shared" si="2575"/>
        <v>0</v>
      </c>
      <c r="H547" s="70"/>
      <c r="I547" s="72">
        <f t="shared" si="2387"/>
        <v>0</v>
      </c>
      <c r="J547" s="72">
        <f t="shared" si="2388"/>
        <v>0</v>
      </c>
      <c r="K547" s="76"/>
      <c r="L547" s="401"/>
      <c r="M547" s="81"/>
      <c r="N547" s="107"/>
      <c r="O547" s="77">
        <f t="shared" ref="O547:Q547" si="2595">AA547+AD547+AG547+AJ547+AM547+AP547+AS547+AV547+AY547+BB547+BE547+BH547</f>
        <v>0</v>
      </c>
      <c r="P547" s="77">
        <f t="shared" si="2595"/>
        <v>0</v>
      </c>
      <c r="Q547" s="77">
        <f t="shared" si="2595"/>
        <v>0</v>
      </c>
      <c r="R547" s="77">
        <f t="shared" ref="R547:T547" si="2596">IF(BK547=0,SUM(AA547+AD547+AG547+AJ547+AM547+AP547+AS547+AV547+AY547+BB547+BE547+BH547),BK547)</f>
        <v>0</v>
      </c>
      <c r="S547" s="77">
        <f t="shared" si="2596"/>
        <v>0</v>
      </c>
      <c r="T547" s="77">
        <f t="shared" si="2596"/>
        <v>0</v>
      </c>
      <c r="U547" s="79">
        <f t="shared" si="2578"/>
        <v>0</v>
      </c>
      <c r="V547" s="79">
        <f t="shared" si="2579"/>
        <v>0</v>
      </c>
      <c r="W547" s="79">
        <f t="shared" si="2580"/>
        <v>0</v>
      </c>
      <c r="X547" s="80">
        <f t="shared" ref="X547:Y547" si="2597">IF(O547&gt;0,O547/K547,0)</f>
        <v>0</v>
      </c>
      <c r="Y547" s="80">
        <f t="shared" si="2597"/>
        <v>0</v>
      </c>
      <c r="Z547" s="80">
        <f t="shared" si="2391"/>
        <v>0</v>
      </c>
      <c r="AA547" s="81"/>
      <c r="AB547" s="81"/>
      <c r="AC547" s="81"/>
      <c r="AD547" s="81"/>
      <c r="AE547" s="83"/>
      <c r="AF547" s="83"/>
      <c r="AG547" s="83"/>
      <c r="AH547" s="83"/>
      <c r="AI547" s="81"/>
      <c r="AJ547" s="81"/>
      <c r="AK547" s="81"/>
      <c r="AL547" s="81"/>
      <c r="AM547" s="81"/>
      <c r="AN547" s="81"/>
      <c r="AO547" s="81"/>
      <c r="AP547" s="81"/>
      <c r="AQ547" s="81"/>
      <c r="AR547" s="81"/>
      <c r="AS547" s="81"/>
      <c r="AT547" s="81"/>
      <c r="AU547" s="81"/>
      <c r="AV547" s="81"/>
      <c r="AW547" s="81"/>
      <c r="AX547" s="81"/>
      <c r="AY547" s="81"/>
      <c r="AZ547" s="81"/>
      <c r="BA547" s="81"/>
      <c r="BB547" s="81"/>
      <c r="BC547" s="81"/>
      <c r="BD547" s="81"/>
      <c r="BE547" s="81"/>
      <c r="BF547" s="81"/>
      <c r="BG547" s="81"/>
      <c r="BH547" s="81"/>
      <c r="BI547" s="81"/>
      <c r="BJ547" s="81"/>
      <c r="BK547" s="82">
        <v>0</v>
      </c>
      <c r="BL547" s="82">
        <v>0</v>
      </c>
      <c r="BM547" s="82">
        <v>0</v>
      </c>
      <c r="BN547" s="81">
        <f t="shared" si="2582"/>
        <v>0</v>
      </c>
      <c r="BO547" s="75">
        <f t="shared" si="2583"/>
        <v>0</v>
      </c>
      <c r="BP547" s="81">
        <f t="shared" si="2584"/>
        <v>0</v>
      </c>
      <c r="BQ547" s="81">
        <f t="shared" si="2585"/>
        <v>0</v>
      </c>
      <c r="BR547" s="81">
        <f t="shared" si="2586"/>
        <v>0</v>
      </c>
      <c r="BS547" s="81">
        <f t="shared" si="2587"/>
        <v>0</v>
      </c>
      <c r="BT547" s="81">
        <f t="shared" si="2588"/>
        <v>0</v>
      </c>
      <c r="BU547" s="81">
        <f t="shared" si="2589"/>
        <v>0</v>
      </c>
      <c r="BV547" s="81">
        <f t="shared" si="2590"/>
        <v>0</v>
      </c>
      <c r="BW547" s="81">
        <f t="shared" si="2591"/>
        <v>0</v>
      </c>
      <c r="BX547" s="1"/>
      <c r="BY547" s="1"/>
      <c r="BZ547" s="1"/>
      <c r="CA547" s="1"/>
      <c r="CB547" s="1"/>
      <c r="CC547" s="1"/>
      <c r="CD547" s="1"/>
      <c r="CE547" s="1"/>
      <c r="CF547" s="1"/>
      <c r="CG547" s="1"/>
    </row>
    <row r="548" spans="1:85" ht="15.75" customHeight="1">
      <c r="A548" s="84"/>
      <c r="B548" s="115"/>
      <c r="C548" s="86" t="s">
        <v>448</v>
      </c>
      <c r="D548" s="87" t="s">
        <v>851</v>
      </c>
      <c r="E548" s="70">
        <v>6000</v>
      </c>
      <c r="F548" s="71"/>
      <c r="G548" s="71">
        <f t="shared" si="2575"/>
        <v>6000</v>
      </c>
      <c r="H548" s="70"/>
      <c r="I548" s="72">
        <f t="shared" si="2387"/>
        <v>0</v>
      </c>
      <c r="J548" s="72">
        <f t="shared" si="2388"/>
        <v>0</v>
      </c>
      <c r="K548" s="76"/>
      <c r="L548" s="401"/>
      <c r="M548" s="81"/>
      <c r="N548" s="107"/>
      <c r="O548" s="77">
        <f t="shared" ref="O548:Q548" si="2598">AA548+AD548+AG548+AJ548+AM548+AP548+AS548+AV548+AY548+BB548+BE548+BH548</f>
        <v>0</v>
      </c>
      <c r="P548" s="77">
        <f t="shared" si="2598"/>
        <v>0</v>
      </c>
      <c r="Q548" s="77">
        <f t="shared" si="2598"/>
        <v>0</v>
      </c>
      <c r="R548" s="77">
        <f t="shared" ref="R548:T548" si="2599">IF(BK548=0,SUM(AA548+AD548+AG548+AJ548+AM548+AP548+AS548+AV548+AY548+BB548+BE548+BH548),BK548)</f>
        <v>0</v>
      </c>
      <c r="S548" s="77">
        <f t="shared" si="2599"/>
        <v>0</v>
      </c>
      <c r="T548" s="77">
        <f t="shared" si="2599"/>
        <v>0</v>
      </c>
      <c r="U548" s="79">
        <f t="shared" si="2578"/>
        <v>0</v>
      </c>
      <c r="V548" s="79">
        <f t="shared" si="2579"/>
        <v>0</v>
      </c>
      <c r="W548" s="79">
        <f t="shared" si="2580"/>
        <v>0</v>
      </c>
      <c r="X548" s="80">
        <f t="shared" ref="X548:Y548" si="2600">IF(O548&gt;0,O548/K548,0)</f>
        <v>0</v>
      </c>
      <c r="Y548" s="80">
        <f t="shared" si="2600"/>
        <v>0</v>
      </c>
      <c r="Z548" s="80">
        <f t="shared" si="2391"/>
        <v>0</v>
      </c>
      <c r="AA548" s="81"/>
      <c r="AB548" s="81"/>
      <c r="AC548" s="81"/>
      <c r="AD548" s="81"/>
      <c r="AE548" s="83"/>
      <c r="AF548" s="83"/>
      <c r="AG548" s="83"/>
      <c r="AH548" s="83"/>
      <c r="AI548" s="81"/>
      <c r="AJ548" s="81"/>
      <c r="AK548" s="81"/>
      <c r="AL548" s="81"/>
      <c r="AM548" s="81"/>
      <c r="AN548" s="81"/>
      <c r="AO548" s="81"/>
      <c r="AP548" s="81"/>
      <c r="AQ548" s="81"/>
      <c r="AR548" s="81"/>
      <c r="AS548" s="81"/>
      <c r="AT548" s="81"/>
      <c r="AU548" s="81"/>
      <c r="AV548" s="81"/>
      <c r="AW548" s="81"/>
      <c r="AX548" s="81"/>
      <c r="AY548" s="81"/>
      <c r="AZ548" s="81"/>
      <c r="BA548" s="81"/>
      <c r="BB548" s="81"/>
      <c r="BC548" s="81"/>
      <c r="BD548" s="81"/>
      <c r="BE548" s="81"/>
      <c r="BF548" s="81"/>
      <c r="BG548" s="81"/>
      <c r="BH548" s="81"/>
      <c r="BI548" s="81"/>
      <c r="BJ548" s="81"/>
      <c r="BK548" s="82">
        <v>0</v>
      </c>
      <c r="BL548" s="82">
        <v>0</v>
      </c>
      <c r="BM548" s="82">
        <v>0</v>
      </c>
      <c r="BN548" s="81">
        <f t="shared" si="2582"/>
        <v>0</v>
      </c>
      <c r="BO548" s="75">
        <f t="shared" si="2583"/>
        <v>0</v>
      </c>
      <c r="BP548" s="81">
        <f t="shared" si="2584"/>
        <v>0</v>
      </c>
      <c r="BQ548" s="81">
        <f t="shared" si="2585"/>
        <v>0</v>
      </c>
      <c r="BR548" s="81">
        <f t="shared" si="2586"/>
        <v>0</v>
      </c>
      <c r="BS548" s="81">
        <f t="shared" si="2587"/>
        <v>0</v>
      </c>
      <c r="BT548" s="81">
        <f t="shared" si="2588"/>
        <v>0</v>
      </c>
      <c r="BU548" s="81">
        <f t="shared" si="2589"/>
        <v>0</v>
      </c>
      <c r="BV548" s="81">
        <f t="shared" si="2590"/>
        <v>0</v>
      </c>
      <c r="BW548" s="81">
        <f t="shared" si="2591"/>
        <v>0</v>
      </c>
      <c r="BX548" s="1"/>
      <c r="BY548" s="1"/>
      <c r="BZ548" s="1"/>
      <c r="CA548" s="1"/>
      <c r="CB548" s="1"/>
      <c r="CC548" s="1"/>
      <c r="CD548" s="1"/>
      <c r="CE548" s="1"/>
      <c r="CF548" s="1"/>
      <c r="CG548" s="1"/>
    </row>
    <row r="549" spans="1:85" ht="15.75" customHeight="1">
      <c r="A549" s="84"/>
      <c r="B549" s="115"/>
      <c r="C549" s="86" t="s">
        <v>448</v>
      </c>
      <c r="D549" s="87" t="s">
        <v>852</v>
      </c>
      <c r="E549" s="70">
        <v>46000</v>
      </c>
      <c r="F549" s="131">
        <v>7568.19</v>
      </c>
      <c r="G549" s="71">
        <f t="shared" si="2575"/>
        <v>38431.81</v>
      </c>
      <c r="H549" s="70"/>
      <c r="I549" s="72">
        <f t="shared" si="2387"/>
        <v>0</v>
      </c>
      <c r="J549" s="72">
        <f t="shared" si="2388"/>
        <v>0</v>
      </c>
      <c r="K549" s="76"/>
      <c r="L549" s="401"/>
      <c r="M549" s="81"/>
      <c r="N549" s="107"/>
      <c r="O549" s="77">
        <f t="shared" ref="O549:Q549" si="2601">AA549+AD549+AG549+AJ549+AM549+AP549+AS549+AV549+AY549+BB549+BE549+BH549</f>
        <v>0</v>
      </c>
      <c r="P549" s="77">
        <f t="shared" si="2601"/>
        <v>0</v>
      </c>
      <c r="Q549" s="77">
        <f t="shared" si="2601"/>
        <v>0</v>
      </c>
      <c r="R549" s="77">
        <f t="shared" ref="R549:T549" si="2602">IF(BK549=0,SUM(AA549+AD549+AG549+AJ549+AM549+AP549+AS549+AV549+AY549+BB549+BE549+BH549),BK549)</f>
        <v>0</v>
      </c>
      <c r="S549" s="77">
        <f t="shared" si="2602"/>
        <v>0</v>
      </c>
      <c r="T549" s="77">
        <f t="shared" si="2602"/>
        <v>0</v>
      </c>
      <c r="U549" s="79">
        <f t="shared" si="2578"/>
        <v>0</v>
      </c>
      <c r="V549" s="79">
        <f t="shared" si="2579"/>
        <v>0</v>
      </c>
      <c r="W549" s="79">
        <f t="shared" si="2580"/>
        <v>0</v>
      </c>
      <c r="X549" s="80">
        <f t="shared" ref="X549:Y549" si="2603">IF(O549&gt;0,O549/K549,0)</f>
        <v>0</v>
      </c>
      <c r="Y549" s="80">
        <f t="shared" si="2603"/>
        <v>0</v>
      </c>
      <c r="Z549" s="80">
        <f t="shared" si="2391"/>
        <v>0</v>
      </c>
      <c r="AA549" s="81"/>
      <c r="AB549" s="81"/>
      <c r="AC549" s="81"/>
      <c r="AD549" s="81"/>
      <c r="AE549" s="83"/>
      <c r="AF549" s="83"/>
      <c r="AG549" s="83"/>
      <c r="AH549" s="83"/>
      <c r="AI549" s="81"/>
      <c r="AJ549" s="81"/>
      <c r="AK549" s="81"/>
      <c r="AL549" s="81"/>
      <c r="AM549" s="81"/>
      <c r="AN549" s="81"/>
      <c r="AO549" s="81"/>
      <c r="AP549" s="81"/>
      <c r="AQ549" s="81"/>
      <c r="AR549" s="81"/>
      <c r="AS549" s="81"/>
      <c r="AT549" s="81"/>
      <c r="AU549" s="81"/>
      <c r="AV549" s="81"/>
      <c r="AW549" s="81"/>
      <c r="AX549" s="81"/>
      <c r="AY549" s="81"/>
      <c r="AZ549" s="81"/>
      <c r="BA549" s="81"/>
      <c r="BB549" s="81"/>
      <c r="BC549" s="81"/>
      <c r="BD549" s="81"/>
      <c r="BE549" s="81"/>
      <c r="BF549" s="81"/>
      <c r="BG549" s="81"/>
      <c r="BH549" s="81"/>
      <c r="BI549" s="81"/>
      <c r="BJ549" s="81"/>
      <c r="BK549" s="82">
        <v>0</v>
      </c>
      <c r="BL549" s="82">
        <v>0</v>
      </c>
      <c r="BM549" s="82">
        <v>0</v>
      </c>
      <c r="BN549" s="81">
        <f t="shared" si="2582"/>
        <v>0</v>
      </c>
      <c r="BO549" s="75">
        <f t="shared" si="2583"/>
        <v>0</v>
      </c>
      <c r="BP549" s="81">
        <f t="shared" si="2584"/>
        <v>0</v>
      </c>
      <c r="BQ549" s="81">
        <f t="shared" si="2585"/>
        <v>0</v>
      </c>
      <c r="BR549" s="81">
        <f t="shared" si="2586"/>
        <v>0</v>
      </c>
      <c r="BS549" s="81">
        <f t="shared" si="2587"/>
        <v>0</v>
      </c>
      <c r="BT549" s="81">
        <f t="shared" si="2588"/>
        <v>0</v>
      </c>
      <c r="BU549" s="81">
        <f t="shared" si="2589"/>
        <v>0</v>
      </c>
      <c r="BV549" s="81">
        <f t="shared" si="2590"/>
        <v>0</v>
      </c>
      <c r="BW549" s="81">
        <f t="shared" si="2591"/>
        <v>0</v>
      </c>
      <c r="BX549" s="1"/>
      <c r="BY549" s="1"/>
      <c r="BZ549" s="1"/>
      <c r="CA549" s="1"/>
      <c r="CB549" s="1"/>
      <c r="CC549" s="1"/>
      <c r="CD549" s="1"/>
      <c r="CE549" s="1"/>
      <c r="CF549" s="1"/>
      <c r="CG549" s="1"/>
    </row>
    <row r="550" spans="1:85" ht="15.75" customHeight="1">
      <c r="A550" s="125" t="s">
        <v>853</v>
      </c>
      <c r="B550" s="115"/>
      <c r="C550" s="86" t="s">
        <v>831</v>
      </c>
      <c r="D550" s="126" t="s">
        <v>854</v>
      </c>
      <c r="E550" s="70">
        <v>10000</v>
      </c>
      <c r="F550" s="71"/>
      <c r="G550" s="71">
        <f t="shared" si="2575"/>
        <v>10000</v>
      </c>
      <c r="H550" s="70"/>
      <c r="I550" s="72">
        <f t="shared" si="2387"/>
        <v>0.15</v>
      </c>
      <c r="J550" s="72">
        <f t="shared" si="2388"/>
        <v>0.15</v>
      </c>
      <c r="K550" s="94">
        <v>1500</v>
      </c>
      <c r="L550" s="401"/>
      <c r="M550" s="81"/>
      <c r="N550" s="107"/>
      <c r="O550" s="77">
        <f t="shared" ref="O550:Q550" si="2604">AA550+AD550+AG550+AJ550+AM550+AP550+AS550+AV550+AY550+BB550+BE550+BH550</f>
        <v>1500</v>
      </c>
      <c r="P550" s="77">
        <f t="shared" si="2604"/>
        <v>0</v>
      </c>
      <c r="Q550" s="77">
        <f t="shared" si="2604"/>
        <v>0</v>
      </c>
      <c r="R550" s="77">
        <f t="shared" ref="R550:T550" si="2605">IF(BK550=0,SUM(AA550+AD550+AG550+AJ550+AM550+AP550+AS550+AV550+AY550+BB550+BE550+BH550),BK550)</f>
        <v>1500</v>
      </c>
      <c r="S550" s="77">
        <f t="shared" si="2605"/>
        <v>0</v>
      </c>
      <c r="T550" s="77">
        <f t="shared" si="2605"/>
        <v>0</v>
      </c>
      <c r="U550" s="79">
        <f t="shared" si="2578"/>
        <v>0</v>
      </c>
      <c r="V550" s="79">
        <f t="shared" si="2579"/>
        <v>0</v>
      </c>
      <c r="W550" s="79">
        <f t="shared" si="2580"/>
        <v>0</v>
      </c>
      <c r="X550" s="80">
        <f t="shared" ref="X550:Y550" si="2606">IF(O550&gt;0,O550/K550,0)</f>
        <v>1</v>
      </c>
      <c r="Y550" s="80">
        <f t="shared" si="2606"/>
        <v>0</v>
      </c>
      <c r="Z550" s="80">
        <f t="shared" si="2391"/>
        <v>0</v>
      </c>
      <c r="AA550" s="81"/>
      <c r="AB550" s="81"/>
      <c r="AC550" s="81"/>
      <c r="AD550" s="81"/>
      <c r="AE550" s="83"/>
      <c r="AF550" s="83"/>
      <c r="AG550" s="83"/>
      <c r="AH550" s="83"/>
      <c r="AI550" s="81"/>
      <c r="AJ550" s="81"/>
      <c r="AK550" s="81"/>
      <c r="AL550" s="81"/>
      <c r="AM550" s="81"/>
      <c r="AN550" s="81"/>
      <c r="AO550" s="81"/>
      <c r="AP550" s="82">
        <v>1500</v>
      </c>
      <c r="AQ550" s="81"/>
      <c r="AR550" s="81"/>
      <c r="AS550" s="81"/>
      <c r="AT550" s="81"/>
      <c r="AU550" s="81"/>
      <c r="AV550" s="81"/>
      <c r="AW550" s="81"/>
      <c r="AX550" s="81"/>
      <c r="AY550" s="81"/>
      <c r="AZ550" s="81"/>
      <c r="BA550" s="81"/>
      <c r="BB550" s="81"/>
      <c r="BC550" s="81"/>
      <c r="BD550" s="81"/>
      <c r="BE550" s="81"/>
      <c r="BF550" s="81"/>
      <c r="BG550" s="81"/>
      <c r="BH550" s="81"/>
      <c r="BI550" s="81"/>
      <c r="BJ550" s="81"/>
      <c r="BK550" s="82">
        <v>1500</v>
      </c>
      <c r="BL550" s="82">
        <v>0</v>
      </c>
      <c r="BM550" s="82">
        <v>0</v>
      </c>
      <c r="BN550" s="81">
        <f t="shared" si="2582"/>
        <v>0</v>
      </c>
      <c r="BO550" s="75">
        <f t="shared" si="2583"/>
        <v>0</v>
      </c>
      <c r="BP550" s="81">
        <f t="shared" si="2584"/>
        <v>0</v>
      </c>
      <c r="BQ550" s="81">
        <f t="shared" si="2585"/>
        <v>0</v>
      </c>
      <c r="BR550" s="81">
        <f t="shared" si="2586"/>
        <v>0</v>
      </c>
      <c r="BS550" s="81">
        <f t="shared" si="2587"/>
        <v>0</v>
      </c>
      <c r="BT550" s="81">
        <f t="shared" si="2588"/>
        <v>0</v>
      </c>
      <c r="BU550" s="81">
        <f t="shared" si="2589"/>
        <v>0</v>
      </c>
      <c r="BV550" s="81">
        <f t="shared" si="2590"/>
        <v>0</v>
      </c>
      <c r="BW550" s="81">
        <f t="shared" si="2591"/>
        <v>0</v>
      </c>
      <c r="BX550" s="1"/>
      <c r="BY550" s="1"/>
      <c r="BZ550" s="1"/>
      <c r="CA550" s="1"/>
      <c r="CB550" s="1"/>
      <c r="CC550" s="1"/>
      <c r="CD550" s="1"/>
      <c r="CE550" s="1"/>
      <c r="CF550" s="1"/>
      <c r="CG550" s="1"/>
    </row>
    <row r="551" spans="1:85" ht="15.75">
      <c r="A551" s="270"/>
      <c r="B551" s="271"/>
      <c r="C551" s="272"/>
      <c r="D551" s="57" t="s">
        <v>251</v>
      </c>
      <c r="E551" s="286">
        <f t="shared" ref="E551:H551" si="2607">SUM(E552:E553)</f>
        <v>0</v>
      </c>
      <c r="F551" s="362">
        <f t="shared" si="2607"/>
        <v>0</v>
      </c>
      <c r="G551" s="362">
        <f t="shared" si="2607"/>
        <v>0</v>
      </c>
      <c r="H551" s="362">
        <f t="shared" si="2607"/>
        <v>0</v>
      </c>
      <c r="I551" s="287">
        <f t="shared" si="2387"/>
        <v>0</v>
      </c>
      <c r="J551" s="287">
        <f t="shared" si="2388"/>
        <v>0</v>
      </c>
      <c r="K551" s="362">
        <f t="shared" ref="K551:W551" si="2608">SUM(K552:K553)</f>
        <v>3703</v>
      </c>
      <c r="L551" s="362">
        <f t="shared" si="2608"/>
        <v>1488</v>
      </c>
      <c r="M551" s="362">
        <f t="shared" si="2608"/>
        <v>1488</v>
      </c>
      <c r="N551" s="362">
        <f t="shared" si="2608"/>
        <v>0</v>
      </c>
      <c r="O551" s="362">
        <f t="shared" si="2608"/>
        <v>3703</v>
      </c>
      <c r="P551" s="362">
        <f t="shared" si="2608"/>
        <v>0</v>
      </c>
      <c r="Q551" s="362">
        <f t="shared" si="2608"/>
        <v>0</v>
      </c>
      <c r="R551" s="362">
        <f t="shared" si="2608"/>
        <v>3703</v>
      </c>
      <c r="S551" s="362">
        <f t="shared" si="2608"/>
        <v>0</v>
      </c>
      <c r="T551" s="362">
        <f t="shared" si="2608"/>
        <v>0</v>
      </c>
      <c r="U551" s="362">
        <f t="shared" si="2608"/>
        <v>0</v>
      </c>
      <c r="V551" s="362">
        <f t="shared" si="2608"/>
        <v>0</v>
      </c>
      <c r="W551" s="362">
        <f t="shared" si="2608"/>
        <v>0</v>
      </c>
      <c r="X551" s="288">
        <f t="shared" ref="X551:Y551" si="2609">IF(O551&gt;0,O551/K551,0)</f>
        <v>1</v>
      </c>
      <c r="Y551" s="288">
        <f t="shared" si="2609"/>
        <v>0</v>
      </c>
      <c r="Z551" s="288">
        <f t="shared" si="2391"/>
        <v>0</v>
      </c>
      <c r="AA551" s="362">
        <f t="shared" ref="AA551:BW551" si="2610">SUM(AA552:AA553)</f>
        <v>0</v>
      </c>
      <c r="AB551" s="362">
        <f t="shared" si="2610"/>
        <v>0</v>
      </c>
      <c r="AC551" s="362">
        <f t="shared" si="2610"/>
        <v>0</v>
      </c>
      <c r="AD551" s="362">
        <f t="shared" si="2610"/>
        <v>0</v>
      </c>
      <c r="AE551" s="362">
        <f t="shared" si="2610"/>
        <v>0</v>
      </c>
      <c r="AF551" s="362">
        <f t="shared" si="2610"/>
        <v>0</v>
      </c>
      <c r="AG551" s="362">
        <f t="shared" si="2610"/>
        <v>0</v>
      </c>
      <c r="AH551" s="362">
        <f t="shared" si="2610"/>
        <v>0</v>
      </c>
      <c r="AI551" s="362">
        <f t="shared" si="2610"/>
        <v>0</v>
      </c>
      <c r="AJ551" s="362">
        <f t="shared" si="2610"/>
        <v>0</v>
      </c>
      <c r="AK551" s="362">
        <f t="shared" si="2610"/>
        <v>0</v>
      </c>
      <c r="AL551" s="362">
        <f t="shared" si="2610"/>
        <v>0</v>
      </c>
      <c r="AM551" s="362">
        <f t="shared" si="2610"/>
        <v>0</v>
      </c>
      <c r="AN551" s="362">
        <f t="shared" si="2610"/>
        <v>0</v>
      </c>
      <c r="AO551" s="362">
        <f t="shared" si="2610"/>
        <v>0</v>
      </c>
      <c r="AP551" s="362">
        <f t="shared" si="2610"/>
        <v>0</v>
      </c>
      <c r="AQ551" s="362">
        <f t="shared" si="2610"/>
        <v>0</v>
      </c>
      <c r="AR551" s="362">
        <f t="shared" si="2610"/>
        <v>0</v>
      </c>
      <c r="AS551" s="362">
        <f t="shared" si="2610"/>
        <v>0</v>
      </c>
      <c r="AT551" s="362">
        <f t="shared" si="2610"/>
        <v>0</v>
      </c>
      <c r="AU551" s="362">
        <f t="shared" si="2610"/>
        <v>0</v>
      </c>
      <c r="AV551" s="362">
        <f t="shared" si="2610"/>
        <v>525</v>
      </c>
      <c r="AW551" s="362">
        <f t="shared" si="2610"/>
        <v>0</v>
      </c>
      <c r="AX551" s="362">
        <f t="shared" si="2610"/>
        <v>0</v>
      </c>
      <c r="AY551" s="362">
        <f t="shared" si="2610"/>
        <v>0</v>
      </c>
      <c r="AZ551" s="362">
        <f t="shared" si="2610"/>
        <v>0</v>
      </c>
      <c r="BA551" s="362">
        <f t="shared" si="2610"/>
        <v>0</v>
      </c>
      <c r="BB551" s="362">
        <f t="shared" si="2610"/>
        <v>0</v>
      </c>
      <c r="BC551" s="362">
        <f t="shared" si="2610"/>
        <v>0</v>
      </c>
      <c r="BD551" s="362">
        <f t="shared" si="2610"/>
        <v>0</v>
      </c>
      <c r="BE551" s="362">
        <f t="shared" si="2610"/>
        <v>3178</v>
      </c>
      <c r="BF551" s="362">
        <f t="shared" si="2610"/>
        <v>0</v>
      </c>
      <c r="BG551" s="362">
        <f t="shared" si="2610"/>
        <v>0</v>
      </c>
      <c r="BH551" s="362">
        <f t="shared" si="2610"/>
        <v>0</v>
      </c>
      <c r="BI551" s="362">
        <f t="shared" si="2610"/>
        <v>0</v>
      </c>
      <c r="BJ551" s="362">
        <f t="shared" si="2610"/>
        <v>0</v>
      </c>
      <c r="BK551" s="362">
        <f t="shared" si="2610"/>
        <v>3703</v>
      </c>
      <c r="BL551" s="362">
        <f t="shared" si="2610"/>
        <v>0</v>
      </c>
      <c r="BM551" s="362">
        <f t="shared" si="2610"/>
        <v>0</v>
      </c>
      <c r="BN551" s="362">
        <f t="shared" si="2610"/>
        <v>0</v>
      </c>
      <c r="BO551" s="362">
        <f t="shared" si="2610"/>
        <v>0</v>
      </c>
      <c r="BP551" s="362">
        <f t="shared" si="2610"/>
        <v>0</v>
      </c>
      <c r="BQ551" s="362">
        <f t="shared" si="2610"/>
        <v>0</v>
      </c>
      <c r="BR551" s="362">
        <f t="shared" si="2610"/>
        <v>0</v>
      </c>
      <c r="BS551" s="362">
        <f t="shared" si="2610"/>
        <v>0</v>
      </c>
      <c r="BT551" s="362">
        <f t="shared" si="2610"/>
        <v>0</v>
      </c>
      <c r="BU551" s="362">
        <f t="shared" si="2610"/>
        <v>0</v>
      </c>
      <c r="BV551" s="362">
        <f t="shared" si="2610"/>
        <v>0</v>
      </c>
      <c r="BW551" s="362">
        <f t="shared" si="2610"/>
        <v>0</v>
      </c>
      <c r="BX551" s="1"/>
      <c r="BY551" s="1"/>
      <c r="BZ551" s="1"/>
      <c r="CA551" s="1"/>
      <c r="CB551" s="1"/>
      <c r="CC551" s="1"/>
      <c r="CD551" s="1"/>
      <c r="CE551" s="1"/>
      <c r="CF551" s="1"/>
      <c r="CG551" s="1"/>
    </row>
    <row r="552" spans="1:85" ht="15.75" customHeight="1">
      <c r="A552" s="125" t="s">
        <v>855</v>
      </c>
      <c r="B552" s="115" t="s">
        <v>856</v>
      </c>
      <c r="C552" s="86" t="s">
        <v>304</v>
      </c>
      <c r="D552" s="87" t="s">
        <v>857</v>
      </c>
      <c r="E552" s="70"/>
      <c r="F552" s="71"/>
      <c r="G552" s="71">
        <f>E552-F552</f>
        <v>0</v>
      </c>
      <c r="H552" s="70"/>
      <c r="I552" s="72">
        <f t="shared" si="2387"/>
        <v>0</v>
      </c>
      <c r="J552" s="72">
        <f t="shared" si="2388"/>
        <v>0</v>
      </c>
      <c r="K552" s="94">
        <f>6356-3178</f>
        <v>3178</v>
      </c>
      <c r="L552" s="75">
        <v>1488</v>
      </c>
      <c r="M552" s="82">
        <v>1488</v>
      </c>
      <c r="N552" s="107"/>
      <c r="O552" s="77">
        <f t="shared" ref="O552:Q552" si="2611">AA552+AD552+AG552+AJ552+AM552+AP552+AS552+AV552+AY552+BB552+BE552+BH552</f>
        <v>3178</v>
      </c>
      <c r="P552" s="77">
        <f t="shared" si="2611"/>
        <v>0</v>
      </c>
      <c r="Q552" s="77">
        <f t="shared" si="2611"/>
        <v>0</v>
      </c>
      <c r="R552" s="77">
        <f t="shared" ref="R552:T552" si="2612">IF(BK552=0,SUM(AA552+AD552+AG552+AJ552+AM552+AP552+AS552+AV552+AY552+BB552+BE552+BH552),BK552)</f>
        <v>3178</v>
      </c>
      <c r="S552" s="77">
        <f t="shared" si="2612"/>
        <v>0</v>
      </c>
      <c r="T552" s="77">
        <f t="shared" si="2612"/>
        <v>0</v>
      </c>
      <c r="U552" s="78">
        <f t="shared" ref="U552:U553" si="2613">K552-O552</f>
        <v>0</v>
      </c>
      <c r="V552" s="79">
        <f t="shared" ref="V552:V553" si="2614">L552-M552-S552</f>
        <v>0</v>
      </c>
      <c r="W552" s="79">
        <f t="shared" ref="W552:W553" si="2615">N552-Q552</f>
        <v>0</v>
      </c>
      <c r="X552" s="80">
        <f t="shared" ref="X552:Y552" si="2616">IF(O552&gt;0,O552/K552,0)</f>
        <v>1</v>
      </c>
      <c r="Y552" s="80">
        <f t="shared" si="2616"/>
        <v>0</v>
      </c>
      <c r="Z552" s="80">
        <f t="shared" si="2391"/>
        <v>0</v>
      </c>
      <c r="AA552" s="81"/>
      <c r="AB552" s="81"/>
      <c r="AC552" s="81"/>
      <c r="AD552" s="81"/>
      <c r="AE552" s="83"/>
      <c r="AF552" s="83"/>
      <c r="AG552" s="83"/>
      <c r="AH552" s="83"/>
      <c r="AI552" s="81"/>
      <c r="AJ552" s="81"/>
      <c r="AK552" s="81"/>
      <c r="AL552" s="81"/>
      <c r="AM552" s="81"/>
      <c r="AN552" s="81"/>
      <c r="AO552" s="81"/>
      <c r="AP552" s="81"/>
      <c r="AQ552" s="81"/>
      <c r="AR552" s="81"/>
      <c r="AS552" s="81"/>
      <c r="AT552" s="81"/>
      <c r="AU552" s="81"/>
      <c r="AV552" s="81"/>
      <c r="AW552" s="81"/>
      <c r="AX552" s="81"/>
      <c r="AY552" s="81"/>
      <c r="AZ552" s="81"/>
      <c r="BA552" s="81"/>
      <c r="BB552" s="81"/>
      <c r="BC552" s="81"/>
      <c r="BD552" s="81"/>
      <c r="BE552" s="81">
        <f>3178</f>
        <v>3178</v>
      </c>
      <c r="BF552" s="81"/>
      <c r="BG552" s="81"/>
      <c r="BH552" s="81"/>
      <c r="BI552" s="81"/>
      <c r="BJ552" s="81"/>
      <c r="BK552" s="82">
        <v>3178</v>
      </c>
      <c r="BL552" s="82">
        <v>0</v>
      </c>
      <c r="BM552" s="82">
        <v>0</v>
      </c>
      <c r="BN552" s="81">
        <f t="shared" ref="BN552:BN553" si="2617">IF(O552-BK552&gt;0,O552-BK552,0)</f>
        <v>0</v>
      </c>
      <c r="BO552" s="75">
        <f t="shared" ref="BO552:BO553" si="2618">IF(Q552-BM552&gt;0,Q552-BM552,0)</f>
        <v>0</v>
      </c>
      <c r="BP552" s="81">
        <f t="shared" ref="BP552:BP553" si="2619">IF(BN552+BO552&gt;0,BN552+BO552,0)</f>
        <v>0</v>
      </c>
      <c r="BQ552" s="81">
        <f t="shared" ref="BQ552:BQ553" si="2620">IF(U552=0,0,U552)</f>
        <v>0</v>
      </c>
      <c r="BR552" s="81">
        <f t="shared" ref="BR552:BR553" si="2621">IF(W552=0,0,W552)</f>
        <v>0</v>
      </c>
      <c r="BS552" s="81">
        <f t="shared" ref="BS552:BS553" si="2622">IF(BQ552+BR552&gt;0,BQ552+BR552,0)</f>
        <v>0</v>
      </c>
      <c r="BT552" s="81">
        <f t="shared" ref="BT552:BT553" si="2623">IF(V552&gt;0,V552,0)</f>
        <v>0</v>
      </c>
      <c r="BU552" s="81">
        <f t="shared" ref="BU552:BU553" si="2624">IF(BP552=0,0,BP552)</f>
        <v>0</v>
      </c>
      <c r="BV552" s="81">
        <f t="shared" ref="BV552:BV553" si="2625">IF(BS552=0,0,BS552)</f>
        <v>0</v>
      </c>
      <c r="BW552" s="81">
        <f t="shared" ref="BW552:BW553" si="2626">IF(BP552+BT552+BV552&gt;0,BP552+BT552+BV552,0)</f>
        <v>0</v>
      </c>
      <c r="BX552" s="1"/>
      <c r="BY552" s="1"/>
      <c r="BZ552" s="1"/>
      <c r="CA552" s="1"/>
      <c r="CB552" s="1"/>
      <c r="CC552" s="1"/>
      <c r="CD552" s="1"/>
      <c r="CE552" s="1"/>
      <c r="CF552" s="1"/>
      <c r="CG552" s="1"/>
    </row>
    <row r="553" spans="1:85" ht="15.75" customHeight="1">
      <c r="A553" s="89" t="s">
        <v>858</v>
      </c>
      <c r="B553" s="90"/>
      <c r="C553" s="91" t="s">
        <v>304</v>
      </c>
      <c r="D553" s="143" t="s">
        <v>859</v>
      </c>
      <c r="E553" s="70"/>
      <c r="F553" s="71"/>
      <c r="G553" s="71"/>
      <c r="H553" s="70"/>
      <c r="I553" s="72"/>
      <c r="J553" s="72"/>
      <c r="K553" s="94">
        <f>3195-2670</f>
        <v>525</v>
      </c>
      <c r="L553" s="401"/>
      <c r="M553" s="81"/>
      <c r="N553" s="107"/>
      <c r="O553" s="77">
        <f t="shared" ref="O553:Q553" si="2627">AA553+AD553+AG553+AJ553+AM553+AP553+AS553+AV553+AY553+BB553+BE553+BH553</f>
        <v>525</v>
      </c>
      <c r="P553" s="77">
        <f t="shared" si="2627"/>
        <v>0</v>
      </c>
      <c r="Q553" s="77">
        <f t="shared" si="2627"/>
        <v>0</v>
      </c>
      <c r="R553" s="77">
        <f t="shared" ref="R553:T553" si="2628">IF(BK553=0,SUM(AA553+AD553+AG553+AJ553+AM553+AP553+AS553+AV553+AY553+BB553+BE553+BH553),BK553)</f>
        <v>525</v>
      </c>
      <c r="S553" s="77">
        <f t="shared" si="2628"/>
        <v>0</v>
      </c>
      <c r="T553" s="77">
        <f t="shared" si="2628"/>
        <v>0</v>
      </c>
      <c r="U553" s="78">
        <f t="shared" si="2613"/>
        <v>0</v>
      </c>
      <c r="V553" s="79">
        <f t="shared" si="2614"/>
        <v>0</v>
      </c>
      <c r="W553" s="79">
        <f t="shared" si="2615"/>
        <v>0</v>
      </c>
      <c r="X553" s="80">
        <f t="shared" ref="X553:Y553" si="2629">IF(O553&gt;0,O553/K553,0)</f>
        <v>1</v>
      </c>
      <c r="Y553" s="80">
        <f t="shared" si="2629"/>
        <v>0</v>
      </c>
      <c r="Z553" s="80">
        <f t="shared" si="2391"/>
        <v>0</v>
      </c>
      <c r="AA553" s="81"/>
      <c r="AB553" s="81"/>
      <c r="AC553" s="81"/>
      <c r="AD553" s="81"/>
      <c r="AE553" s="83"/>
      <c r="AF553" s="83"/>
      <c r="AG553" s="83"/>
      <c r="AH553" s="83"/>
      <c r="AI553" s="81"/>
      <c r="AJ553" s="81"/>
      <c r="AK553" s="81"/>
      <c r="AL553" s="81"/>
      <c r="AM553" s="81"/>
      <c r="AN553" s="81"/>
      <c r="AO553" s="81"/>
      <c r="AP553" s="82"/>
      <c r="AQ553" s="81"/>
      <c r="AR553" s="81"/>
      <c r="AS553" s="81"/>
      <c r="AT553" s="81"/>
      <c r="AU553" s="81"/>
      <c r="AV553" s="81">
        <f>525</f>
        <v>525</v>
      </c>
      <c r="AW553" s="81"/>
      <c r="AX553" s="81"/>
      <c r="AY553" s="81"/>
      <c r="AZ553" s="81"/>
      <c r="BA553" s="81"/>
      <c r="BB553" s="81"/>
      <c r="BC553" s="81"/>
      <c r="BD553" s="81"/>
      <c r="BE553" s="81"/>
      <c r="BF553" s="81"/>
      <c r="BG553" s="81"/>
      <c r="BH553" s="81"/>
      <c r="BI553" s="81"/>
      <c r="BJ553" s="81"/>
      <c r="BK553" s="82">
        <v>525</v>
      </c>
      <c r="BL553" s="82">
        <v>0</v>
      </c>
      <c r="BM553" s="82">
        <v>0</v>
      </c>
      <c r="BN553" s="81">
        <f t="shared" si="2617"/>
        <v>0</v>
      </c>
      <c r="BO553" s="75">
        <f t="shared" si="2618"/>
        <v>0</v>
      </c>
      <c r="BP553" s="81">
        <f t="shared" si="2619"/>
        <v>0</v>
      </c>
      <c r="BQ553" s="81">
        <f t="shared" si="2620"/>
        <v>0</v>
      </c>
      <c r="BR553" s="81">
        <f t="shared" si="2621"/>
        <v>0</v>
      </c>
      <c r="BS553" s="81">
        <f t="shared" si="2622"/>
        <v>0</v>
      </c>
      <c r="BT553" s="81">
        <f t="shared" si="2623"/>
        <v>0</v>
      </c>
      <c r="BU553" s="81">
        <f t="shared" si="2624"/>
        <v>0</v>
      </c>
      <c r="BV553" s="81">
        <f t="shared" si="2625"/>
        <v>0</v>
      </c>
      <c r="BW553" s="81">
        <f t="shared" si="2626"/>
        <v>0</v>
      </c>
      <c r="BX553" s="1"/>
      <c r="BY553" s="1"/>
      <c r="BZ553" s="1"/>
      <c r="CA553" s="1"/>
      <c r="CB553" s="1"/>
      <c r="CC553" s="1"/>
      <c r="CD553" s="1"/>
      <c r="CE553" s="1"/>
      <c r="CF553" s="1"/>
      <c r="CG553" s="1"/>
    </row>
    <row r="554" spans="1:85" ht="15.75" customHeight="1">
      <c r="A554" s="326"/>
      <c r="B554" s="354"/>
      <c r="C554" s="328"/>
      <c r="D554" s="329" t="s">
        <v>860</v>
      </c>
      <c r="E554" s="402">
        <f t="shared" ref="E554:H554" si="2630">E555+E562+E566+E569</f>
        <v>177000</v>
      </c>
      <c r="F554" s="403">
        <f t="shared" si="2630"/>
        <v>120000</v>
      </c>
      <c r="G554" s="403">
        <f t="shared" si="2630"/>
        <v>57000</v>
      </c>
      <c r="H554" s="344">
        <f t="shared" si="2630"/>
        <v>0</v>
      </c>
      <c r="I554" s="331">
        <f t="shared" ref="I554:I705" si="2631">IF(G554&gt;0,K554/G554,0)</f>
        <v>0.4728280701754386</v>
      </c>
      <c r="J554" s="331">
        <f t="shared" ref="J554:J705" si="2632">IF(G554&gt;0,O554/G554,0)</f>
        <v>0.4496701754385965</v>
      </c>
      <c r="K554" s="344">
        <f t="shared" ref="K554:W554" si="2633">K555+K562+K566+K569</f>
        <v>26951.200000000001</v>
      </c>
      <c r="L554" s="403">
        <f t="shared" si="2633"/>
        <v>0</v>
      </c>
      <c r="M554" s="403">
        <f t="shared" si="2633"/>
        <v>0</v>
      </c>
      <c r="N554" s="344">
        <f t="shared" si="2633"/>
        <v>0</v>
      </c>
      <c r="O554" s="403">
        <f t="shared" si="2633"/>
        <v>25631.200000000001</v>
      </c>
      <c r="P554" s="403">
        <f t="shared" si="2633"/>
        <v>0</v>
      </c>
      <c r="Q554" s="403">
        <f t="shared" si="2633"/>
        <v>0</v>
      </c>
      <c r="R554" s="403">
        <f t="shared" si="2633"/>
        <v>25631.200000000001</v>
      </c>
      <c r="S554" s="403">
        <f t="shared" si="2633"/>
        <v>0</v>
      </c>
      <c r="T554" s="403">
        <f t="shared" si="2633"/>
        <v>0</v>
      </c>
      <c r="U554" s="344">
        <f t="shared" si="2633"/>
        <v>1320</v>
      </c>
      <c r="V554" s="344">
        <f t="shared" si="2633"/>
        <v>0</v>
      </c>
      <c r="W554" s="344">
        <f t="shared" si="2633"/>
        <v>0</v>
      </c>
      <c r="X554" s="332">
        <f t="shared" ref="X554:Y554" si="2634">IF(O554&gt;0,O554/K554,0)</f>
        <v>0.95102258897563008</v>
      </c>
      <c r="Y554" s="332">
        <f t="shared" si="2634"/>
        <v>0</v>
      </c>
      <c r="Z554" s="332">
        <f t="shared" si="2391"/>
        <v>0</v>
      </c>
      <c r="AA554" s="403">
        <f t="shared" ref="AA554:BW554" si="2635">AA555+AA562+AA566+AA569</f>
        <v>0</v>
      </c>
      <c r="AB554" s="403">
        <f t="shared" si="2635"/>
        <v>0</v>
      </c>
      <c r="AC554" s="403">
        <f t="shared" si="2635"/>
        <v>0</v>
      </c>
      <c r="AD554" s="403">
        <f t="shared" si="2635"/>
        <v>0</v>
      </c>
      <c r="AE554" s="403">
        <f t="shared" si="2635"/>
        <v>0</v>
      </c>
      <c r="AF554" s="403">
        <f t="shared" si="2635"/>
        <v>0</v>
      </c>
      <c r="AG554" s="403">
        <f t="shared" si="2635"/>
        <v>0</v>
      </c>
      <c r="AH554" s="403">
        <f t="shared" si="2635"/>
        <v>0</v>
      </c>
      <c r="AI554" s="403">
        <f t="shared" si="2635"/>
        <v>0</v>
      </c>
      <c r="AJ554" s="403">
        <f t="shared" si="2635"/>
        <v>0</v>
      </c>
      <c r="AK554" s="403">
        <f t="shared" si="2635"/>
        <v>0</v>
      </c>
      <c r="AL554" s="403">
        <f t="shared" si="2635"/>
        <v>0</v>
      </c>
      <c r="AM554" s="403">
        <f t="shared" si="2635"/>
        <v>0</v>
      </c>
      <c r="AN554" s="403">
        <f t="shared" si="2635"/>
        <v>0</v>
      </c>
      <c r="AO554" s="403">
        <f t="shared" si="2635"/>
        <v>0</v>
      </c>
      <c r="AP554" s="403">
        <f t="shared" si="2635"/>
        <v>0</v>
      </c>
      <c r="AQ554" s="403">
        <f t="shared" si="2635"/>
        <v>0</v>
      </c>
      <c r="AR554" s="403">
        <f t="shared" si="2635"/>
        <v>0</v>
      </c>
      <c r="AS554" s="403">
        <f t="shared" si="2635"/>
        <v>0</v>
      </c>
      <c r="AT554" s="403">
        <f t="shared" si="2635"/>
        <v>0</v>
      </c>
      <c r="AU554" s="403">
        <f t="shared" si="2635"/>
        <v>0</v>
      </c>
      <c r="AV554" s="403">
        <f t="shared" si="2635"/>
        <v>3500</v>
      </c>
      <c r="AW554" s="403">
        <f t="shared" si="2635"/>
        <v>0</v>
      </c>
      <c r="AX554" s="403">
        <f t="shared" si="2635"/>
        <v>0</v>
      </c>
      <c r="AY554" s="403">
        <f t="shared" si="2635"/>
        <v>2931.2</v>
      </c>
      <c r="AZ554" s="403">
        <f t="shared" si="2635"/>
        <v>0</v>
      </c>
      <c r="BA554" s="403">
        <f t="shared" si="2635"/>
        <v>0</v>
      </c>
      <c r="BB554" s="403">
        <f t="shared" si="2635"/>
        <v>6660</v>
      </c>
      <c r="BC554" s="403">
        <f t="shared" si="2635"/>
        <v>0</v>
      </c>
      <c r="BD554" s="403">
        <f t="shared" si="2635"/>
        <v>0</v>
      </c>
      <c r="BE554" s="403">
        <f t="shared" si="2635"/>
        <v>5940</v>
      </c>
      <c r="BF554" s="403">
        <f t="shared" si="2635"/>
        <v>0</v>
      </c>
      <c r="BG554" s="403">
        <f t="shared" si="2635"/>
        <v>0</v>
      </c>
      <c r="BH554" s="403">
        <f t="shared" si="2635"/>
        <v>6600</v>
      </c>
      <c r="BI554" s="403">
        <f t="shared" si="2635"/>
        <v>0</v>
      </c>
      <c r="BJ554" s="403">
        <f t="shared" si="2635"/>
        <v>0</v>
      </c>
      <c r="BK554" s="403">
        <f t="shared" si="2635"/>
        <v>25631.200000000001</v>
      </c>
      <c r="BL554" s="403">
        <f t="shared" si="2635"/>
        <v>0</v>
      </c>
      <c r="BM554" s="403">
        <f t="shared" si="2635"/>
        <v>0</v>
      </c>
      <c r="BN554" s="403">
        <f t="shared" si="2635"/>
        <v>0</v>
      </c>
      <c r="BO554" s="403">
        <f t="shared" si="2635"/>
        <v>0</v>
      </c>
      <c r="BP554" s="403">
        <f t="shared" si="2635"/>
        <v>0</v>
      </c>
      <c r="BQ554" s="403">
        <f t="shared" si="2635"/>
        <v>1320</v>
      </c>
      <c r="BR554" s="403">
        <f t="shared" si="2635"/>
        <v>0</v>
      </c>
      <c r="BS554" s="403">
        <f t="shared" si="2635"/>
        <v>1320</v>
      </c>
      <c r="BT554" s="403">
        <f t="shared" si="2635"/>
        <v>0</v>
      </c>
      <c r="BU554" s="403">
        <f t="shared" si="2635"/>
        <v>0</v>
      </c>
      <c r="BV554" s="403">
        <f t="shared" si="2635"/>
        <v>1320</v>
      </c>
      <c r="BW554" s="403">
        <f t="shared" si="2635"/>
        <v>1320</v>
      </c>
      <c r="BX554" s="1"/>
      <c r="BY554" s="1"/>
      <c r="BZ554" s="1"/>
      <c r="CA554" s="1"/>
      <c r="CB554" s="1"/>
      <c r="CC554" s="1"/>
      <c r="CD554" s="1"/>
      <c r="CE554" s="1"/>
      <c r="CF554" s="1"/>
      <c r="CG554" s="1"/>
    </row>
    <row r="555" spans="1:85" ht="15.75">
      <c r="A555" s="54"/>
      <c r="B555" s="55"/>
      <c r="C555" s="56"/>
      <c r="D555" s="57" t="s">
        <v>116</v>
      </c>
      <c r="E555" s="58">
        <f t="shared" ref="E555:H555" si="2636">SUM(E556:E561)</f>
        <v>15000</v>
      </c>
      <c r="F555" s="58">
        <f t="shared" si="2636"/>
        <v>0</v>
      </c>
      <c r="G555" s="58">
        <f t="shared" si="2636"/>
        <v>15000</v>
      </c>
      <c r="H555" s="58">
        <f t="shared" si="2636"/>
        <v>0</v>
      </c>
      <c r="I555" s="60">
        <f t="shared" si="2631"/>
        <v>0</v>
      </c>
      <c r="J555" s="60">
        <f t="shared" si="2632"/>
        <v>0</v>
      </c>
      <c r="K555" s="58">
        <f t="shared" ref="K555:W555" si="2637">SUM(K556:K561)</f>
        <v>0</v>
      </c>
      <c r="L555" s="58">
        <f t="shared" si="2637"/>
        <v>0</v>
      </c>
      <c r="M555" s="58">
        <f t="shared" si="2637"/>
        <v>0</v>
      </c>
      <c r="N555" s="58">
        <f t="shared" si="2637"/>
        <v>0</v>
      </c>
      <c r="O555" s="58">
        <f t="shared" si="2637"/>
        <v>0</v>
      </c>
      <c r="P555" s="58">
        <f t="shared" si="2637"/>
        <v>0</v>
      </c>
      <c r="Q555" s="58">
        <f t="shared" si="2637"/>
        <v>0</v>
      </c>
      <c r="R555" s="58">
        <f t="shared" si="2637"/>
        <v>0</v>
      </c>
      <c r="S555" s="58">
        <f t="shared" si="2637"/>
        <v>0</v>
      </c>
      <c r="T555" s="58">
        <f t="shared" si="2637"/>
        <v>0</v>
      </c>
      <c r="U555" s="58">
        <f t="shared" si="2637"/>
        <v>0</v>
      </c>
      <c r="V555" s="58">
        <f t="shared" si="2637"/>
        <v>0</v>
      </c>
      <c r="W555" s="58">
        <f t="shared" si="2637"/>
        <v>0</v>
      </c>
      <c r="X555" s="63">
        <f t="shared" ref="X555:Y555" si="2638">IF(O555&gt;0,O555/K555,0)</f>
        <v>0</v>
      </c>
      <c r="Y555" s="63">
        <f t="shared" si="2638"/>
        <v>0</v>
      </c>
      <c r="Z555" s="63">
        <f t="shared" si="2391"/>
        <v>0</v>
      </c>
      <c r="AA555" s="58">
        <f t="shared" ref="AA555:BW555" si="2639">SUM(AA556:AA561)</f>
        <v>0</v>
      </c>
      <c r="AB555" s="58">
        <f t="shared" si="2639"/>
        <v>0</v>
      </c>
      <c r="AC555" s="58">
        <f t="shared" si="2639"/>
        <v>0</v>
      </c>
      <c r="AD555" s="58">
        <f t="shared" si="2639"/>
        <v>0</v>
      </c>
      <c r="AE555" s="58">
        <f t="shared" si="2639"/>
        <v>0</v>
      </c>
      <c r="AF555" s="58">
        <f t="shared" si="2639"/>
        <v>0</v>
      </c>
      <c r="AG555" s="58">
        <f t="shared" si="2639"/>
        <v>0</v>
      </c>
      <c r="AH555" s="58">
        <f t="shared" si="2639"/>
        <v>0</v>
      </c>
      <c r="AI555" s="58">
        <f t="shared" si="2639"/>
        <v>0</v>
      </c>
      <c r="AJ555" s="58">
        <f t="shared" si="2639"/>
        <v>0</v>
      </c>
      <c r="AK555" s="58">
        <f t="shared" si="2639"/>
        <v>0</v>
      </c>
      <c r="AL555" s="58">
        <f t="shared" si="2639"/>
        <v>0</v>
      </c>
      <c r="AM555" s="58">
        <f t="shared" si="2639"/>
        <v>0</v>
      </c>
      <c r="AN555" s="58">
        <f t="shared" si="2639"/>
        <v>0</v>
      </c>
      <c r="AO555" s="58">
        <f t="shared" si="2639"/>
        <v>0</v>
      </c>
      <c r="AP555" s="58">
        <f t="shared" si="2639"/>
        <v>0</v>
      </c>
      <c r="AQ555" s="58">
        <f t="shared" si="2639"/>
        <v>0</v>
      </c>
      <c r="AR555" s="58">
        <f t="shared" si="2639"/>
        <v>0</v>
      </c>
      <c r="AS555" s="58">
        <f t="shared" si="2639"/>
        <v>0</v>
      </c>
      <c r="AT555" s="58">
        <f t="shared" si="2639"/>
        <v>0</v>
      </c>
      <c r="AU555" s="58">
        <f t="shared" si="2639"/>
        <v>0</v>
      </c>
      <c r="AV555" s="58">
        <f t="shared" si="2639"/>
        <v>0</v>
      </c>
      <c r="AW555" s="58">
        <f t="shared" si="2639"/>
        <v>0</v>
      </c>
      <c r="AX555" s="58">
        <f t="shared" si="2639"/>
        <v>0</v>
      </c>
      <c r="AY555" s="58">
        <f t="shared" si="2639"/>
        <v>0</v>
      </c>
      <c r="AZ555" s="58">
        <f t="shared" si="2639"/>
        <v>0</v>
      </c>
      <c r="BA555" s="58">
        <f t="shared" si="2639"/>
        <v>0</v>
      </c>
      <c r="BB555" s="58">
        <f t="shared" si="2639"/>
        <v>0</v>
      </c>
      <c r="BC555" s="58">
        <f t="shared" si="2639"/>
        <v>0</v>
      </c>
      <c r="BD555" s="58">
        <f t="shared" si="2639"/>
        <v>0</v>
      </c>
      <c r="BE555" s="58">
        <f t="shared" si="2639"/>
        <v>0</v>
      </c>
      <c r="BF555" s="58">
        <f t="shared" si="2639"/>
        <v>0</v>
      </c>
      <c r="BG555" s="58">
        <f t="shared" si="2639"/>
        <v>0</v>
      </c>
      <c r="BH555" s="58">
        <f t="shared" si="2639"/>
        <v>0</v>
      </c>
      <c r="BI555" s="58">
        <f t="shared" si="2639"/>
        <v>0</v>
      </c>
      <c r="BJ555" s="58">
        <f t="shared" si="2639"/>
        <v>0</v>
      </c>
      <c r="BK555" s="58">
        <f t="shared" si="2639"/>
        <v>0</v>
      </c>
      <c r="BL555" s="58">
        <f t="shared" si="2639"/>
        <v>0</v>
      </c>
      <c r="BM555" s="58">
        <f t="shared" si="2639"/>
        <v>0</v>
      </c>
      <c r="BN555" s="58">
        <f t="shared" si="2639"/>
        <v>0</v>
      </c>
      <c r="BO555" s="58">
        <f t="shared" si="2639"/>
        <v>0</v>
      </c>
      <c r="BP555" s="58">
        <f t="shared" si="2639"/>
        <v>0</v>
      </c>
      <c r="BQ555" s="58">
        <f t="shared" si="2639"/>
        <v>0</v>
      </c>
      <c r="BR555" s="58">
        <f t="shared" si="2639"/>
        <v>0</v>
      </c>
      <c r="BS555" s="58">
        <f t="shared" si="2639"/>
        <v>0</v>
      </c>
      <c r="BT555" s="58">
        <f t="shared" si="2639"/>
        <v>0</v>
      </c>
      <c r="BU555" s="58">
        <f t="shared" si="2639"/>
        <v>0</v>
      </c>
      <c r="BV555" s="58">
        <f t="shared" si="2639"/>
        <v>0</v>
      </c>
      <c r="BW555" s="58">
        <f t="shared" si="2639"/>
        <v>0</v>
      </c>
      <c r="BX555" s="65"/>
      <c r="BY555" s="65"/>
      <c r="BZ555" s="65"/>
      <c r="CA555" s="65"/>
      <c r="CB555" s="65"/>
      <c r="CC555" s="65"/>
      <c r="CD555" s="65"/>
      <c r="CE555" s="65"/>
      <c r="CF555" s="65"/>
      <c r="CG555" s="65"/>
    </row>
    <row r="556" spans="1:85" ht="15.75" customHeight="1">
      <c r="A556" s="84"/>
      <c r="B556" s="115"/>
      <c r="C556" s="86" t="s">
        <v>118</v>
      </c>
      <c r="D556" s="87" t="s">
        <v>846</v>
      </c>
      <c r="E556" s="70">
        <v>1000</v>
      </c>
      <c r="F556" s="71"/>
      <c r="G556" s="71">
        <f t="shared" ref="G556:G561" si="2640">E556-F556</f>
        <v>1000</v>
      </c>
      <c r="H556" s="70"/>
      <c r="I556" s="72">
        <f t="shared" si="2631"/>
        <v>0</v>
      </c>
      <c r="J556" s="72">
        <f t="shared" si="2632"/>
        <v>0</v>
      </c>
      <c r="K556" s="76"/>
      <c r="L556" s="401"/>
      <c r="M556" s="81"/>
      <c r="N556" s="107"/>
      <c r="O556" s="77">
        <f t="shared" ref="O556:Q556" si="2641">AA556+AD556+AG556+AJ556+AM556+AP556+AS556+AV556+AY556+BB556+BE556+BH556</f>
        <v>0</v>
      </c>
      <c r="P556" s="77">
        <f t="shared" si="2641"/>
        <v>0</v>
      </c>
      <c r="Q556" s="77">
        <f t="shared" si="2641"/>
        <v>0</v>
      </c>
      <c r="R556" s="77">
        <f t="shared" ref="R556:T556" si="2642">IF(BK556=0,SUM(AA556+AD556+AG556+AJ556+AM556+AP556+AS556+AV556+AY556+BB556+BE556+BH556),BK556)</f>
        <v>0</v>
      </c>
      <c r="S556" s="77">
        <f t="shared" si="2642"/>
        <v>0</v>
      </c>
      <c r="T556" s="77">
        <f t="shared" si="2642"/>
        <v>0</v>
      </c>
      <c r="U556" s="79">
        <f t="shared" ref="U556:U561" si="2643">K556-O556</f>
        <v>0</v>
      </c>
      <c r="V556" s="79">
        <f t="shared" ref="V556:V561" si="2644">L556-M556-S556</f>
        <v>0</v>
      </c>
      <c r="W556" s="79">
        <f t="shared" ref="W556:W561" si="2645">N556-Q556</f>
        <v>0</v>
      </c>
      <c r="X556" s="80">
        <f t="shared" ref="X556:Y556" si="2646">IF(O556&gt;0,O556/K556,0)</f>
        <v>0</v>
      </c>
      <c r="Y556" s="80">
        <f t="shared" si="2646"/>
        <v>0</v>
      </c>
      <c r="Z556" s="80">
        <f t="shared" si="2391"/>
        <v>0</v>
      </c>
      <c r="AA556" s="81"/>
      <c r="AB556" s="81"/>
      <c r="AC556" s="81"/>
      <c r="AD556" s="81"/>
      <c r="AE556" s="83"/>
      <c r="AF556" s="83"/>
      <c r="AG556" s="83"/>
      <c r="AH556" s="83"/>
      <c r="AI556" s="81"/>
      <c r="AJ556" s="81"/>
      <c r="AK556" s="81"/>
      <c r="AL556" s="81"/>
      <c r="AM556" s="81"/>
      <c r="AN556" s="81"/>
      <c r="AO556" s="81"/>
      <c r="AP556" s="81"/>
      <c r="AQ556" s="81"/>
      <c r="AR556" s="81"/>
      <c r="AS556" s="81"/>
      <c r="AT556" s="81"/>
      <c r="AU556" s="81"/>
      <c r="AV556" s="81"/>
      <c r="AW556" s="81"/>
      <c r="AX556" s="81"/>
      <c r="AY556" s="81"/>
      <c r="AZ556" s="81"/>
      <c r="BA556" s="81"/>
      <c r="BB556" s="81"/>
      <c r="BC556" s="81"/>
      <c r="BD556" s="81"/>
      <c r="BE556" s="81"/>
      <c r="BF556" s="81"/>
      <c r="BG556" s="81"/>
      <c r="BH556" s="81"/>
      <c r="BI556" s="81"/>
      <c r="BJ556" s="81"/>
      <c r="BK556" s="82">
        <v>0</v>
      </c>
      <c r="BL556" s="82">
        <v>0</v>
      </c>
      <c r="BM556" s="82">
        <v>0</v>
      </c>
      <c r="BN556" s="81">
        <f t="shared" ref="BN556:BN561" si="2647">IF(O556-BK556&gt;0,O556-BK556,0)</f>
        <v>0</v>
      </c>
      <c r="BO556" s="75">
        <f t="shared" ref="BO556:BO561" si="2648">IF(Q556-BM556&gt;0,Q556-BM556,0)</f>
        <v>0</v>
      </c>
      <c r="BP556" s="81">
        <f t="shared" ref="BP556:BP561" si="2649">IF(BN556+BO556&gt;0,BN556+BO556,0)</f>
        <v>0</v>
      </c>
      <c r="BQ556" s="81">
        <f t="shared" ref="BQ556:BQ561" si="2650">IF(U556=0,0,U556)</f>
        <v>0</v>
      </c>
      <c r="BR556" s="81">
        <f t="shared" ref="BR556:BR561" si="2651">IF(W556=0,0,W556)</f>
        <v>0</v>
      </c>
      <c r="BS556" s="81">
        <f t="shared" ref="BS556:BS561" si="2652">IF(BQ556+BR556&gt;0,BQ556+BR556,0)</f>
        <v>0</v>
      </c>
      <c r="BT556" s="81">
        <f t="shared" ref="BT556:BT561" si="2653">IF(V556&gt;0,V556,0)</f>
        <v>0</v>
      </c>
      <c r="BU556" s="81">
        <f t="shared" ref="BU556:BU561" si="2654">IF(BP556=0,0,BP556)</f>
        <v>0</v>
      </c>
      <c r="BV556" s="81">
        <f t="shared" ref="BV556:BV561" si="2655">IF(BS556=0,0,BS556)</f>
        <v>0</v>
      </c>
      <c r="BW556" s="81">
        <f t="shared" ref="BW556:BW561" si="2656">IF(BP556+BT556+BV556&gt;0,BP556+BT556+BV556,0)</f>
        <v>0</v>
      </c>
      <c r="BX556" s="1"/>
      <c r="BY556" s="1"/>
      <c r="BZ556" s="1"/>
      <c r="CA556" s="1"/>
      <c r="CB556" s="1"/>
      <c r="CC556" s="1"/>
      <c r="CD556" s="1"/>
      <c r="CE556" s="1"/>
      <c r="CF556" s="1"/>
      <c r="CG556" s="1"/>
    </row>
    <row r="557" spans="1:85" ht="15.75" customHeight="1">
      <c r="A557" s="84"/>
      <c r="B557" s="115"/>
      <c r="C557" s="86" t="s">
        <v>118</v>
      </c>
      <c r="D557" s="87" t="s">
        <v>861</v>
      </c>
      <c r="E557" s="70">
        <v>1000</v>
      </c>
      <c r="F557" s="71"/>
      <c r="G557" s="71">
        <f t="shared" si="2640"/>
        <v>1000</v>
      </c>
      <c r="H557" s="70"/>
      <c r="I557" s="72">
        <f t="shared" si="2631"/>
        <v>0</v>
      </c>
      <c r="J557" s="72">
        <f t="shared" si="2632"/>
        <v>0</v>
      </c>
      <c r="K557" s="76"/>
      <c r="L557" s="401"/>
      <c r="M557" s="81"/>
      <c r="N557" s="107"/>
      <c r="O557" s="77">
        <f t="shared" ref="O557:Q557" si="2657">AA557+AD557+AG557+AJ557+AM557+AP557+AS557+AV557+AY557+BB557+BE557+BH557</f>
        <v>0</v>
      </c>
      <c r="P557" s="77">
        <f t="shared" si="2657"/>
        <v>0</v>
      </c>
      <c r="Q557" s="77">
        <f t="shared" si="2657"/>
        <v>0</v>
      </c>
      <c r="R557" s="77">
        <f t="shared" ref="R557:T557" si="2658">IF(BK557=0,SUM(AA557+AD557+AG557+AJ557+AM557+AP557+AS557+AV557+AY557+BB557+BE557+BH557),BK557)</f>
        <v>0</v>
      </c>
      <c r="S557" s="77">
        <f t="shared" si="2658"/>
        <v>0</v>
      </c>
      <c r="T557" s="77">
        <f t="shared" si="2658"/>
        <v>0</v>
      </c>
      <c r="U557" s="79">
        <f t="shared" si="2643"/>
        <v>0</v>
      </c>
      <c r="V557" s="79">
        <f t="shared" si="2644"/>
        <v>0</v>
      </c>
      <c r="W557" s="79">
        <f t="shared" si="2645"/>
        <v>0</v>
      </c>
      <c r="X557" s="80">
        <f t="shared" ref="X557:Y557" si="2659">IF(O557&gt;0,O557/K557,0)</f>
        <v>0</v>
      </c>
      <c r="Y557" s="80">
        <f t="shared" si="2659"/>
        <v>0</v>
      </c>
      <c r="Z557" s="80">
        <f t="shared" si="2391"/>
        <v>0</v>
      </c>
      <c r="AA557" s="81"/>
      <c r="AB557" s="81"/>
      <c r="AC557" s="81"/>
      <c r="AD557" s="81"/>
      <c r="AE557" s="83"/>
      <c r="AF557" s="83"/>
      <c r="AG557" s="83"/>
      <c r="AH557" s="83"/>
      <c r="AI557" s="81"/>
      <c r="AJ557" s="81"/>
      <c r="AK557" s="81"/>
      <c r="AL557" s="81"/>
      <c r="AM557" s="81"/>
      <c r="AN557" s="81"/>
      <c r="AO557" s="81"/>
      <c r="AP557" s="81"/>
      <c r="AQ557" s="81"/>
      <c r="AR557" s="81"/>
      <c r="AS557" s="81"/>
      <c r="AT557" s="81"/>
      <c r="AU557" s="81"/>
      <c r="AV557" s="81"/>
      <c r="AW557" s="81"/>
      <c r="AX557" s="81"/>
      <c r="AY557" s="81"/>
      <c r="AZ557" s="81"/>
      <c r="BA557" s="81"/>
      <c r="BB557" s="81"/>
      <c r="BC557" s="81"/>
      <c r="BD557" s="81"/>
      <c r="BE557" s="81"/>
      <c r="BF557" s="81"/>
      <c r="BG557" s="81"/>
      <c r="BH557" s="81"/>
      <c r="BI557" s="81"/>
      <c r="BJ557" s="81"/>
      <c r="BK557" s="82">
        <v>0</v>
      </c>
      <c r="BL557" s="82">
        <v>0</v>
      </c>
      <c r="BM557" s="82">
        <v>0</v>
      </c>
      <c r="BN557" s="81">
        <f t="shared" si="2647"/>
        <v>0</v>
      </c>
      <c r="BO557" s="75">
        <f t="shared" si="2648"/>
        <v>0</v>
      </c>
      <c r="BP557" s="81">
        <f t="shared" si="2649"/>
        <v>0</v>
      </c>
      <c r="BQ557" s="81">
        <f t="shared" si="2650"/>
        <v>0</v>
      </c>
      <c r="BR557" s="81">
        <f t="shared" si="2651"/>
        <v>0</v>
      </c>
      <c r="BS557" s="81">
        <f t="shared" si="2652"/>
        <v>0</v>
      </c>
      <c r="BT557" s="81">
        <f t="shared" si="2653"/>
        <v>0</v>
      </c>
      <c r="BU557" s="81">
        <f t="shared" si="2654"/>
        <v>0</v>
      </c>
      <c r="BV557" s="81">
        <f t="shared" si="2655"/>
        <v>0</v>
      </c>
      <c r="BW557" s="81">
        <f t="shared" si="2656"/>
        <v>0</v>
      </c>
      <c r="BX557" s="1"/>
      <c r="BY557" s="1"/>
      <c r="BZ557" s="1"/>
      <c r="CA557" s="1"/>
      <c r="CB557" s="1"/>
      <c r="CC557" s="1"/>
      <c r="CD557" s="1"/>
      <c r="CE557" s="1"/>
      <c r="CF557" s="1"/>
      <c r="CG557" s="1"/>
    </row>
    <row r="558" spans="1:85" ht="15.75" customHeight="1">
      <c r="A558" s="84"/>
      <c r="B558" s="115"/>
      <c r="C558" s="86" t="s">
        <v>118</v>
      </c>
      <c r="D558" s="87" t="s">
        <v>862</v>
      </c>
      <c r="E558" s="70">
        <v>3000</v>
      </c>
      <c r="F558" s="71"/>
      <c r="G558" s="71">
        <f t="shared" si="2640"/>
        <v>3000</v>
      </c>
      <c r="H558" s="70"/>
      <c r="I558" s="72">
        <f t="shared" si="2631"/>
        <v>0</v>
      </c>
      <c r="J558" s="72">
        <f t="shared" si="2632"/>
        <v>0</v>
      </c>
      <c r="K558" s="76"/>
      <c r="L558" s="401"/>
      <c r="M558" s="81"/>
      <c r="N558" s="107"/>
      <c r="O558" s="77">
        <f t="shared" ref="O558:Q558" si="2660">AA558+AD558+AG558+AJ558+AM558+AP558+AS558+AV558+AY558+BB558+BE558+BH558</f>
        <v>0</v>
      </c>
      <c r="P558" s="77">
        <f t="shared" si="2660"/>
        <v>0</v>
      </c>
      <c r="Q558" s="77">
        <f t="shared" si="2660"/>
        <v>0</v>
      </c>
      <c r="R558" s="77">
        <f t="shared" ref="R558:T558" si="2661">IF(BK558=0,SUM(AA558+AD558+AG558+AJ558+AM558+AP558+AS558+AV558+AY558+BB558+BE558+BH558),BK558)</f>
        <v>0</v>
      </c>
      <c r="S558" s="77">
        <f t="shared" si="2661"/>
        <v>0</v>
      </c>
      <c r="T558" s="77">
        <f t="shared" si="2661"/>
        <v>0</v>
      </c>
      <c r="U558" s="79">
        <f t="shared" si="2643"/>
        <v>0</v>
      </c>
      <c r="V558" s="79">
        <f t="shared" si="2644"/>
        <v>0</v>
      </c>
      <c r="W558" s="79">
        <f t="shared" si="2645"/>
        <v>0</v>
      </c>
      <c r="X558" s="80">
        <f t="shared" ref="X558:Y558" si="2662">IF(O558&gt;0,O558/K558,0)</f>
        <v>0</v>
      </c>
      <c r="Y558" s="80">
        <f t="shared" si="2662"/>
        <v>0</v>
      </c>
      <c r="Z558" s="80">
        <f t="shared" si="2391"/>
        <v>0</v>
      </c>
      <c r="AA558" s="81"/>
      <c r="AB558" s="81"/>
      <c r="AC558" s="81"/>
      <c r="AD558" s="81"/>
      <c r="AE558" s="83"/>
      <c r="AF558" s="83"/>
      <c r="AG558" s="83"/>
      <c r="AH558" s="83"/>
      <c r="AI558" s="81"/>
      <c r="AJ558" s="81"/>
      <c r="AK558" s="81"/>
      <c r="AL558" s="81"/>
      <c r="AM558" s="81"/>
      <c r="AN558" s="81"/>
      <c r="AO558" s="81"/>
      <c r="AP558" s="81"/>
      <c r="AQ558" s="81"/>
      <c r="AR558" s="81"/>
      <c r="AS558" s="81"/>
      <c r="AT558" s="81"/>
      <c r="AU558" s="81"/>
      <c r="AV558" s="81"/>
      <c r="AW558" s="81"/>
      <c r="AX558" s="81"/>
      <c r="AY558" s="81"/>
      <c r="AZ558" s="81"/>
      <c r="BA558" s="81"/>
      <c r="BB558" s="81"/>
      <c r="BC558" s="81"/>
      <c r="BD558" s="81"/>
      <c r="BE558" s="81"/>
      <c r="BF558" s="81"/>
      <c r="BG558" s="81"/>
      <c r="BH558" s="81"/>
      <c r="BI558" s="81"/>
      <c r="BJ558" s="81"/>
      <c r="BK558" s="82">
        <v>0</v>
      </c>
      <c r="BL558" s="82">
        <v>0</v>
      </c>
      <c r="BM558" s="82">
        <v>0</v>
      </c>
      <c r="BN558" s="81">
        <f t="shared" si="2647"/>
        <v>0</v>
      </c>
      <c r="BO558" s="75">
        <f t="shared" si="2648"/>
        <v>0</v>
      </c>
      <c r="BP558" s="81">
        <f t="shared" si="2649"/>
        <v>0</v>
      </c>
      <c r="BQ558" s="81">
        <f t="shared" si="2650"/>
        <v>0</v>
      </c>
      <c r="BR558" s="81">
        <f t="shared" si="2651"/>
        <v>0</v>
      </c>
      <c r="BS558" s="81">
        <f t="shared" si="2652"/>
        <v>0</v>
      </c>
      <c r="BT558" s="81">
        <f t="shared" si="2653"/>
        <v>0</v>
      </c>
      <c r="BU558" s="81">
        <f t="shared" si="2654"/>
        <v>0</v>
      </c>
      <c r="BV558" s="81">
        <f t="shared" si="2655"/>
        <v>0</v>
      </c>
      <c r="BW558" s="81">
        <f t="shared" si="2656"/>
        <v>0</v>
      </c>
      <c r="BX558" s="1"/>
      <c r="BY558" s="1"/>
      <c r="BZ558" s="1"/>
      <c r="CA558" s="1"/>
      <c r="CB558" s="1"/>
      <c r="CC558" s="1"/>
      <c r="CD558" s="1"/>
      <c r="CE558" s="1"/>
      <c r="CF558" s="1"/>
      <c r="CG558" s="1"/>
    </row>
    <row r="559" spans="1:85" ht="15.75" customHeight="1">
      <c r="A559" s="84"/>
      <c r="B559" s="115"/>
      <c r="C559" s="86" t="s">
        <v>253</v>
      </c>
      <c r="D559" s="167" t="s">
        <v>863</v>
      </c>
      <c r="E559" s="163">
        <f>1000+4000</f>
        <v>5000</v>
      </c>
      <c r="F559" s="164">
        <v>0</v>
      </c>
      <c r="G559" s="71">
        <f t="shared" si="2640"/>
        <v>5000</v>
      </c>
      <c r="H559" s="70"/>
      <c r="I559" s="72">
        <f t="shared" si="2631"/>
        <v>0</v>
      </c>
      <c r="J559" s="72">
        <f t="shared" si="2632"/>
        <v>0</v>
      </c>
      <c r="K559" s="76"/>
      <c r="L559" s="401"/>
      <c r="M559" s="81"/>
      <c r="N559" s="107"/>
      <c r="O559" s="77">
        <f t="shared" ref="O559:Q559" si="2663">AA559+AD559+AG559+AJ559+AM559+AP559+AS559+AV559+AY559+BB559+BE559+BH559</f>
        <v>0</v>
      </c>
      <c r="P559" s="77">
        <f t="shared" si="2663"/>
        <v>0</v>
      </c>
      <c r="Q559" s="77">
        <f t="shared" si="2663"/>
        <v>0</v>
      </c>
      <c r="R559" s="77">
        <f t="shared" ref="R559:T559" si="2664">IF(BK559=0,SUM(AA559+AD559+AG559+AJ559+AM559+AP559+AS559+AV559+AY559+BB559+BE559+BH559),BK559)</f>
        <v>0</v>
      </c>
      <c r="S559" s="77">
        <f t="shared" si="2664"/>
        <v>0</v>
      </c>
      <c r="T559" s="77">
        <f t="shared" si="2664"/>
        <v>0</v>
      </c>
      <c r="U559" s="79">
        <f t="shared" si="2643"/>
        <v>0</v>
      </c>
      <c r="V559" s="79">
        <f t="shared" si="2644"/>
        <v>0</v>
      </c>
      <c r="W559" s="79">
        <f t="shared" si="2645"/>
        <v>0</v>
      </c>
      <c r="X559" s="80">
        <f t="shared" ref="X559:Y559" si="2665">IF(O559&gt;0,O559/K559,0)</f>
        <v>0</v>
      </c>
      <c r="Y559" s="80">
        <f t="shared" si="2665"/>
        <v>0</v>
      </c>
      <c r="Z559" s="80">
        <f t="shared" si="2391"/>
        <v>0</v>
      </c>
      <c r="AA559" s="81"/>
      <c r="AB559" s="81"/>
      <c r="AC559" s="81"/>
      <c r="AD559" s="81"/>
      <c r="AE559" s="83"/>
      <c r="AF559" s="83"/>
      <c r="AG559" s="83"/>
      <c r="AH559" s="83"/>
      <c r="AI559" s="81"/>
      <c r="AJ559" s="81"/>
      <c r="AK559" s="81"/>
      <c r="AL559" s="81"/>
      <c r="AM559" s="81"/>
      <c r="AN559" s="81"/>
      <c r="AO559" s="81"/>
      <c r="AP559" s="81"/>
      <c r="AQ559" s="81"/>
      <c r="AR559" s="81"/>
      <c r="AS559" s="81"/>
      <c r="AT559" s="81"/>
      <c r="AU559" s="81"/>
      <c r="AV559" s="81"/>
      <c r="AW559" s="81"/>
      <c r="AX559" s="81"/>
      <c r="AY559" s="81"/>
      <c r="AZ559" s="81"/>
      <c r="BA559" s="81"/>
      <c r="BB559" s="81"/>
      <c r="BC559" s="81"/>
      <c r="BD559" s="81"/>
      <c r="BE559" s="81"/>
      <c r="BF559" s="81"/>
      <c r="BG559" s="81"/>
      <c r="BH559" s="81"/>
      <c r="BI559" s="81"/>
      <c r="BJ559" s="81"/>
      <c r="BK559" s="82">
        <v>0</v>
      </c>
      <c r="BL559" s="82">
        <v>0</v>
      </c>
      <c r="BM559" s="82">
        <v>0</v>
      </c>
      <c r="BN559" s="81">
        <f t="shared" si="2647"/>
        <v>0</v>
      </c>
      <c r="BO559" s="75">
        <f t="shared" si="2648"/>
        <v>0</v>
      </c>
      <c r="BP559" s="81">
        <f t="shared" si="2649"/>
        <v>0</v>
      </c>
      <c r="BQ559" s="81">
        <f t="shared" si="2650"/>
        <v>0</v>
      </c>
      <c r="BR559" s="81">
        <f t="shared" si="2651"/>
        <v>0</v>
      </c>
      <c r="BS559" s="81">
        <f t="shared" si="2652"/>
        <v>0</v>
      </c>
      <c r="BT559" s="81">
        <f t="shared" si="2653"/>
        <v>0</v>
      </c>
      <c r="BU559" s="81">
        <f t="shared" si="2654"/>
        <v>0</v>
      </c>
      <c r="BV559" s="81">
        <f t="shared" si="2655"/>
        <v>0</v>
      </c>
      <c r="BW559" s="81">
        <f t="shared" si="2656"/>
        <v>0</v>
      </c>
      <c r="BX559" s="1"/>
      <c r="BY559" s="1"/>
      <c r="BZ559" s="1"/>
      <c r="CA559" s="1"/>
      <c r="CB559" s="1"/>
      <c r="CC559" s="1"/>
      <c r="CD559" s="1"/>
      <c r="CE559" s="1"/>
      <c r="CF559" s="1"/>
      <c r="CG559" s="1"/>
    </row>
    <row r="560" spans="1:85" ht="15.75" customHeight="1">
      <c r="A560" s="84"/>
      <c r="B560" s="115"/>
      <c r="C560" s="86" t="s">
        <v>123</v>
      </c>
      <c r="D560" s="87" t="s">
        <v>864</v>
      </c>
      <c r="E560" s="163">
        <v>2000</v>
      </c>
      <c r="F560" s="164"/>
      <c r="G560" s="71">
        <f t="shared" si="2640"/>
        <v>2000</v>
      </c>
      <c r="H560" s="70"/>
      <c r="I560" s="72">
        <f t="shared" si="2631"/>
        <v>0</v>
      </c>
      <c r="J560" s="72">
        <f t="shared" si="2632"/>
        <v>0</v>
      </c>
      <c r="K560" s="76"/>
      <c r="L560" s="401"/>
      <c r="M560" s="81"/>
      <c r="N560" s="107"/>
      <c r="O560" s="77">
        <f t="shared" ref="O560:Q560" si="2666">AA560+AD560+AG560+AJ560+AM560+AP560+AS560+AV560+AY560+BB560+BE560+BH560</f>
        <v>0</v>
      </c>
      <c r="P560" s="77">
        <f t="shared" si="2666"/>
        <v>0</v>
      </c>
      <c r="Q560" s="77">
        <f t="shared" si="2666"/>
        <v>0</v>
      </c>
      <c r="R560" s="77">
        <f t="shared" ref="R560:T560" si="2667">IF(BK560=0,SUM(AA560+AD560+AG560+AJ560+AM560+AP560+AS560+AV560+AY560+BB560+BE560+BH560),BK560)</f>
        <v>0</v>
      </c>
      <c r="S560" s="77">
        <f t="shared" si="2667"/>
        <v>0</v>
      </c>
      <c r="T560" s="77">
        <f t="shared" si="2667"/>
        <v>0</v>
      </c>
      <c r="U560" s="79">
        <f t="shared" si="2643"/>
        <v>0</v>
      </c>
      <c r="V560" s="79">
        <f t="shared" si="2644"/>
        <v>0</v>
      </c>
      <c r="W560" s="79">
        <f t="shared" si="2645"/>
        <v>0</v>
      </c>
      <c r="X560" s="80">
        <f t="shared" ref="X560:Y560" si="2668">IF(O560&gt;0,O560/K560,0)</f>
        <v>0</v>
      </c>
      <c r="Y560" s="80">
        <f t="shared" si="2668"/>
        <v>0</v>
      </c>
      <c r="Z560" s="80">
        <f t="shared" si="2391"/>
        <v>0</v>
      </c>
      <c r="AA560" s="81"/>
      <c r="AB560" s="81"/>
      <c r="AC560" s="81"/>
      <c r="AD560" s="81"/>
      <c r="AE560" s="83"/>
      <c r="AF560" s="83"/>
      <c r="AG560" s="83"/>
      <c r="AH560" s="83"/>
      <c r="AI560" s="81"/>
      <c r="AJ560" s="81"/>
      <c r="AK560" s="81"/>
      <c r="AL560" s="81"/>
      <c r="AM560" s="81"/>
      <c r="AN560" s="81"/>
      <c r="AO560" s="81"/>
      <c r="AP560" s="81"/>
      <c r="AQ560" s="81"/>
      <c r="AR560" s="81"/>
      <c r="AS560" s="81"/>
      <c r="AT560" s="81"/>
      <c r="AU560" s="81"/>
      <c r="AV560" s="81"/>
      <c r="AW560" s="81"/>
      <c r="AX560" s="81"/>
      <c r="AY560" s="81"/>
      <c r="AZ560" s="81"/>
      <c r="BA560" s="81"/>
      <c r="BB560" s="81"/>
      <c r="BC560" s="81"/>
      <c r="BD560" s="81"/>
      <c r="BE560" s="81"/>
      <c r="BF560" s="81"/>
      <c r="BG560" s="81"/>
      <c r="BH560" s="81"/>
      <c r="BI560" s="81"/>
      <c r="BJ560" s="81"/>
      <c r="BK560" s="82">
        <v>0</v>
      </c>
      <c r="BL560" s="82">
        <v>0</v>
      </c>
      <c r="BM560" s="82">
        <v>0</v>
      </c>
      <c r="BN560" s="81">
        <f t="shared" si="2647"/>
        <v>0</v>
      </c>
      <c r="BO560" s="75">
        <f t="shared" si="2648"/>
        <v>0</v>
      </c>
      <c r="BP560" s="81">
        <f t="shared" si="2649"/>
        <v>0</v>
      </c>
      <c r="BQ560" s="81">
        <f t="shared" si="2650"/>
        <v>0</v>
      </c>
      <c r="BR560" s="81">
        <f t="shared" si="2651"/>
        <v>0</v>
      </c>
      <c r="BS560" s="81">
        <f t="shared" si="2652"/>
        <v>0</v>
      </c>
      <c r="BT560" s="81">
        <f t="shared" si="2653"/>
        <v>0</v>
      </c>
      <c r="BU560" s="81">
        <f t="shared" si="2654"/>
        <v>0</v>
      </c>
      <c r="BV560" s="81">
        <f t="shared" si="2655"/>
        <v>0</v>
      </c>
      <c r="BW560" s="81">
        <f t="shared" si="2656"/>
        <v>0</v>
      </c>
      <c r="BX560" s="1"/>
      <c r="BY560" s="1"/>
      <c r="BZ560" s="1"/>
      <c r="CA560" s="1"/>
      <c r="CB560" s="1"/>
      <c r="CC560" s="1"/>
      <c r="CD560" s="1"/>
      <c r="CE560" s="1"/>
      <c r="CF560" s="1"/>
      <c r="CG560" s="1"/>
    </row>
    <row r="561" spans="1:85" ht="15.75" customHeight="1">
      <c r="A561" s="84"/>
      <c r="B561" s="115"/>
      <c r="C561" s="86" t="s">
        <v>123</v>
      </c>
      <c r="D561" s="87" t="s">
        <v>865</v>
      </c>
      <c r="E561" s="163">
        <f>1000+2000</f>
        <v>3000</v>
      </c>
      <c r="F561" s="164"/>
      <c r="G561" s="71">
        <f t="shared" si="2640"/>
        <v>3000</v>
      </c>
      <c r="H561" s="70"/>
      <c r="I561" s="72">
        <f t="shared" si="2631"/>
        <v>0</v>
      </c>
      <c r="J561" s="72">
        <f t="shared" si="2632"/>
        <v>0</v>
      </c>
      <c r="K561" s="76"/>
      <c r="L561" s="401"/>
      <c r="M561" s="81"/>
      <c r="N561" s="107"/>
      <c r="O561" s="77">
        <f t="shared" ref="O561:Q561" si="2669">AA561+AD561+AG561+AJ561+AM561+AP561+AS561+AV561+AY561+BB561+BE561+BH561</f>
        <v>0</v>
      </c>
      <c r="P561" s="77">
        <f t="shared" si="2669"/>
        <v>0</v>
      </c>
      <c r="Q561" s="77">
        <f t="shared" si="2669"/>
        <v>0</v>
      </c>
      <c r="R561" s="77">
        <f t="shared" ref="R561:T561" si="2670">IF(BK561=0,SUM(AA561+AD561+AG561+AJ561+AM561+AP561+AS561+AV561+AY561+BB561+BE561+BH561),BK561)</f>
        <v>0</v>
      </c>
      <c r="S561" s="77">
        <f t="shared" si="2670"/>
        <v>0</v>
      </c>
      <c r="T561" s="77">
        <f t="shared" si="2670"/>
        <v>0</v>
      </c>
      <c r="U561" s="79">
        <f t="shared" si="2643"/>
        <v>0</v>
      </c>
      <c r="V561" s="79">
        <f t="shared" si="2644"/>
        <v>0</v>
      </c>
      <c r="W561" s="79">
        <f t="shared" si="2645"/>
        <v>0</v>
      </c>
      <c r="X561" s="80">
        <f t="shared" ref="X561:Y561" si="2671">IF(O561&gt;0,O561/K561,0)</f>
        <v>0</v>
      </c>
      <c r="Y561" s="80">
        <f t="shared" si="2671"/>
        <v>0</v>
      </c>
      <c r="Z561" s="80">
        <f t="shared" si="2391"/>
        <v>0</v>
      </c>
      <c r="AA561" s="81"/>
      <c r="AB561" s="81"/>
      <c r="AC561" s="81"/>
      <c r="AD561" s="81"/>
      <c r="AE561" s="83"/>
      <c r="AF561" s="83"/>
      <c r="AG561" s="83"/>
      <c r="AH561" s="83"/>
      <c r="AI561" s="81"/>
      <c r="AJ561" s="81"/>
      <c r="AK561" s="81"/>
      <c r="AL561" s="81"/>
      <c r="AM561" s="81"/>
      <c r="AN561" s="81"/>
      <c r="AO561" s="81"/>
      <c r="AP561" s="81"/>
      <c r="AQ561" s="81"/>
      <c r="AR561" s="81"/>
      <c r="AS561" s="81"/>
      <c r="AT561" s="81"/>
      <c r="AU561" s="81"/>
      <c r="AV561" s="81"/>
      <c r="AW561" s="81"/>
      <c r="AX561" s="81"/>
      <c r="AY561" s="81"/>
      <c r="AZ561" s="81"/>
      <c r="BA561" s="81"/>
      <c r="BB561" s="81"/>
      <c r="BC561" s="81"/>
      <c r="BD561" s="81"/>
      <c r="BE561" s="81"/>
      <c r="BF561" s="81"/>
      <c r="BG561" s="81"/>
      <c r="BH561" s="81"/>
      <c r="BI561" s="81"/>
      <c r="BJ561" s="81"/>
      <c r="BK561" s="82">
        <v>0</v>
      </c>
      <c r="BL561" s="82">
        <v>0</v>
      </c>
      <c r="BM561" s="82">
        <v>0</v>
      </c>
      <c r="BN561" s="81">
        <f t="shared" si="2647"/>
        <v>0</v>
      </c>
      <c r="BO561" s="75">
        <f t="shared" si="2648"/>
        <v>0</v>
      </c>
      <c r="BP561" s="81">
        <f t="shared" si="2649"/>
        <v>0</v>
      </c>
      <c r="BQ561" s="81">
        <f t="shared" si="2650"/>
        <v>0</v>
      </c>
      <c r="BR561" s="81">
        <f t="shared" si="2651"/>
        <v>0</v>
      </c>
      <c r="BS561" s="81">
        <f t="shared" si="2652"/>
        <v>0</v>
      </c>
      <c r="BT561" s="81">
        <f t="shared" si="2653"/>
        <v>0</v>
      </c>
      <c r="BU561" s="81">
        <f t="shared" si="2654"/>
        <v>0</v>
      </c>
      <c r="BV561" s="81">
        <f t="shared" si="2655"/>
        <v>0</v>
      </c>
      <c r="BW561" s="81">
        <f t="shared" si="2656"/>
        <v>0</v>
      </c>
      <c r="BX561" s="1"/>
      <c r="BY561" s="1"/>
      <c r="BZ561" s="1"/>
      <c r="CA561" s="1"/>
      <c r="CB561" s="1"/>
      <c r="CC561" s="1"/>
      <c r="CD561" s="1"/>
      <c r="CE561" s="1"/>
      <c r="CF561" s="1"/>
      <c r="CG561" s="1"/>
    </row>
    <row r="562" spans="1:85" ht="15.75">
      <c r="A562" s="109"/>
      <c r="B562" s="110"/>
      <c r="C562" s="111"/>
      <c r="D562" s="112" t="s">
        <v>128</v>
      </c>
      <c r="E562" s="58">
        <f t="shared" ref="E562:H562" si="2672">SUM(E563:E565)</f>
        <v>22000</v>
      </c>
      <c r="F562" s="58">
        <f t="shared" si="2672"/>
        <v>20000</v>
      </c>
      <c r="G562" s="58">
        <f t="shared" si="2672"/>
        <v>2000</v>
      </c>
      <c r="H562" s="58">
        <f t="shared" si="2672"/>
        <v>0</v>
      </c>
      <c r="I562" s="60">
        <f t="shared" si="2631"/>
        <v>1.4656</v>
      </c>
      <c r="J562" s="60">
        <f t="shared" si="2632"/>
        <v>1.4656</v>
      </c>
      <c r="K562" s="58">
        <f t="shared" ref="K562:W562" si="2673">SUM(K563:K565)</f>
        <v>2931.2</v>
      </c>
      <c r="L562" s="58">
        <f t="shared" si="2673"/>
        <v>0</v>
      </c>
      <c r="M562" s="58">
        <f t="shared" si="2673"/>
        <v>0</v>
      </c>
      <c r="N562" s="58">
        <f t="shared" si="2673"/>
        <v>0</v>
      </c>
      <c r="O562" s="58">
        <f t="shared" si="2673"/>
        <v>2931.2</v>
      </c>
      <c r="P562" s="58">
        <f t="shared" si="2673"/>
        <v>0</v>
      </c>
      <c r="Q562" s="58">
        <f t="shared" si="2673"/>
        <v>0</v>
      </c>
      <c r="R562" s="58">
        <f t="shared" si="2673"/>
        <v>2931.2</v>
      </c>
      <c r="S562" s="58">
        <f t="shared" si="2673"/>
        <v>0</v>
      </c>
      <c r="T562" s="58">
        <f t="shared" si="2673"/>
        <v>0</v>
      </c>
      <c r="U562" s="58">
        <f t="shared" si="2673"/>
        <v>0</v>
      </c>
      <c r="V562" s="58">
        <f t="shared" si="2673"/>
        <v>0</v>
      </c>
      <c r="W562" s="58">
        <f t="shared" si="2673"/>
        <v>0</v>
      </c>
      <c r="X562" s="63">
        <f t="shared" ref="X562:Y562" si="2674">IF(O562&gt;0,O562/K562,0)</f>
        <v>1</v>
      </c>
      <c r="Y562" s="63">
        <f t="shared" si="2674"/>
        <v>0</v>
      </c>
      <c r="Z562" s="63">
        <f t="shared" si="2391"/>
        <v>0</v>
      </c>
      <c r="AA562" s="58">
        <f t="shared" ref="AA562:BW562" si="2675">SUM(AA563:AA565)</f>
        <v>0</v>
      </c>
      <c r="AB562" s="58">
        <f t="shared" si="2675"/>
        <v>0</v>
      </c>
      <c r="AC562" s="58">
        <f t="shared" si="2675"/>
        <v>0</v>
      </c>
      <c r="AD562" s="58">
        <f t="shared" si="2675"/>
        <v>0</v>
      </c>
      <c r="AE562" s="58">
        <f t="shared" si="2675"/>
        <v>0</v>
      </c>
      <c r="AF562" s="58">
        <f t="shared" si="2675"/>
        <v>0</v>
      </c>
      <c r="AG562" s="58">
        <f t="shared" si="2675"/>
        <v>0</v>
      </c>
      <c r="AH562" s="58">
        <f t="shared" si="2675"/>
        <v>0</v>
      </c>
      <c r="AI562" s="58">
        <f t="shared" si="2675"/>
        <v>0</v>
      </c>
      <c r="AJ562" s="58">
        <f t="shared" si="2675"/>
        <v>0</v>
      </c>
      <c r="AK562" s="58">
        <f t="shared" si="2675"/>
        <v>0</v>
      </c>
      <c r="AL562" s="58">
        <f t="shared" si="2675"/>
        <v>0</v>
      </c>
      <c r="AM562" s="58">
        <f t="shared" si="2675"/>
        <v>0</v>
      </c>
      <c r="AN562" s="58">
        <f t="shared" si="2675"/>
        <v>0</v>
      </c>
      <c r="AO562" s="58">
        <f t="shared" si="2675"/>
        <v>0</v>
      </c>
      <c r="AP562" s="58">
        <f t="shared" si="2675"/>
        <v>0</v>
      </c>
      <c r="AQ562" s="58">
        <f t="shared" si="2675"/>
        <v>0</v>
      </c>
      <c r="AR562" s="58">
        <f t="shared" si="2675"/>
        <v>0</v>
      </c>
      <c r="AS562" s="58">
        <f t="shared" si="2675"/>
        <v>0</v>
      </c>
      <c r="AT562" s="58">
        <f t="shared" si="2675"/>
        <v>0</v>
      </c>
      <c r="AU562" s="58">
        <f t="shared" si="2675"/>
        <v>0</v>
      </c>
      <c r="AV562" s="58">
        <f t="shared" si="2675"/>
        <v>0</v>
      </c>
      <c r="AW562" s="58">
        <f t="shared" si="2675"/>
        <v>0</v>
      </c>
      <c r="AX562" s="58">
        <f t="shared" si="2675"/>
        <v>0</v>
      </c>
      <c r="AY562" s="58">
        <f t="shared" si="2675"/>
        <v>2931.2</v>
      </c>
      <c r="AZ562" s="58">
        <f t="shared" si="2675"/>
        <v>0</v>
      </c>
      <c r="BA562" s="58">
        <f t="shared" si="2675"/>
        <v>0</v>
      </c>
      <c r="BB562" s="58">
        <f t="shared" si="2675"/>
        <v>0</v>
      </c>
      <c r="BC562" s="58">
        <f t="shared" si="2675"/>
        <v>0</v>
      </c>
      <c r="BD562" s="58">
        <f t="shared" si="2675"/>
        <v>0</v>
      </c>
      <c r="BE562" s="58">
        <f t="shared" si="2675"/>
        <v>0</v>
      </c>
      <c r="BF562" s="58">
        <f t="shared" si="2675"/>
        <v>0</v>
      </c>
      <c r="BG562" s="58">
        <f t="shared" si="2675"/>
        <v>0</v>
      </c>
      <c r="BH562" s="58">
        <f t="shared" si="2675"/>
        <v>0</v>
      </c>
      <c r="BI562" s="58">
        <f t="shared" si="2675"/>
        <v>0</v>
      </c>
      <c r="BJ562" s="58">
        <f t="shared" si="2675"/>
        <v>0</v>
      </c>
      <c r="BK562" s="58">
        <f t="shared" si="2675"/>
        <v>2931.2</v>
      </c>
      <c r="BL562" s="58">
        <f t="shared" si="2675"/>
        <v>0</v>
      </c>
      <c r="BM562" s="58">
        <f t="shared" si="2675"/>
        <v>0</v>
      </c>
      <c r="BN562" s="58">
        <f t="shared" si="2675"/>
        <v>0</v>
      </c>
      <c r="BO562" s="58">
        <f t="shared" si="2675"/>
        <v>0</v>
      </c>
      <c r="BP562" s="58">
        <f t="shared" si="2675"/>
        <v>0</v>
      </c>
      <c r="BQ562" s="58">
        <f t="shared" si="2675"/>
        <v>0</v>
      </c>
      <c r="BR562" s="58">
        <f t="shared" si="2675"/>
        <v>0</v>
      </c>
      <c r="BS562" s="58">
        <f t="shared" si="2675"/>
        <v>0</v>
      </c>
      <c r="BT562" s="58">
        <f t="shared" si="2675"/>
        <v>0</v>
      </c>
      <c r="BU562" s="58">
        <f t="shared" si="2675"/>
        <v>0</v>
      </c>
      <c r="BV562" s="58">
        <f t="shared" si="2675"/>
        <v>0</v>
      </c>
      <c r="BW562" s="58">
        <f t="shared" si="2675"/>
        <v>0</v>
      </c>
      <c r="BX562" s="65"/>
      <c r="BY562" s="65"/>
      <c r="BZ562" s="65"/>
      <c r="CA562" s="65"/>
      <c r="CB562" s="65"/>
      <c r="CC562" s="65"/>
      <c r="CD562" s="65"/>
      <c r="CE562" s="65"/>
      <c r="CF562" s="65"/>
      <c r="CG562" s="65"/>
    </row>
    <row r="563" spans="1:85" ht="15.75" customHeight="1">
      <c r="A563" s="125" t="s">
        <v>866</v>
      </c>
      <c r="B563" s="115"/>
      <c r="C563" s="129" t="s">
        <v>581</v>
      </c>
      <c r="D563" s="211" t="s">
        <v>867</v>
      </c>
      <c r="E563" s="163"/>
      <c r="F563" s="164"/>
      <c r="G563" s="71">
        <f t="shared" ref="G563:G565" si="2676">E563-F563</f>
        <v>0</v>
      </c>
      <c r="H563" s="70"/>
      <c r="I563" s="72">
        <f t="shared" si="2631"/>
        <v>0</v>
      </c>
      <c r="J563" s="72">
        <f t="shared" si="2632"/>
        <v>0</v>
      </c>
      <c r="K563" s="94">
        <v>2931.2</v>
      </c>
      <c r="L563" s="401"/>
      <c r="M563" s="81"/>
      <c r="N563" s="107"/>
      <c r="O563" s="77">
        <f t="shared" ref="O563:Q563" si="2677">AA563+AD563+AG563+AJ563+AM563+AP563+AS563+AV563+AY563+BB563+BE563+BH563</f>
        <v>2931.2</v>
      </c>
      <c r="P563" s="77">
        <f t="shared" si="2677"/>
        <v>0</v>
      </c>
      <c r="Q563" s="77">
        <f t="shared" si="2677"/>
        <v>0</v>
      </c>
      <c r="R563" s="77">
        <f t="shared" ref="R563:T563" si="2678">IF(BK563=0,SUM(AA563+AD563+AG563+AJ563+AM563+AP563+AS563+AV563+AY563+BB563+BE563+BH563),BK563)</f>
        <v>2931.2</v>
      </c>
      <c r="S563" s="77">
        <f t="shared" si="2678"/>
        <v>0</v>
      </c>
      <c r="T563" s="77">
        <f t="shared" si="2678"/>
        <v>0</v>
      </c>
      <c r="U563" s="79">
        <f t="shared" ref="U563:U565" si="2679">K563-O563</f>
        <v>0</v>
      </c>
      <c r="V563" s="79">
        <f t="shared" ref="V563:V565" si="2680">L563-M563-S563</f>
        <v>0</v>
      </c>
      <c r="W563" s="79">
        <f t="shared" ref="W563:W565" si="2681">N563-Q563</f>
        <v>0</v>
      </c>
      <c r="X563" s="80">
        <f t="shared" ref="X563:Y563" si="2682">IF(O563&gt;0,O563/K563,0)</f>
        <v>1</v>
      </c>
      <c r="Y563" s="80">
        <f t="shared" si="2682"/>
        <v>0</v>
      </c>
      <c r="Z563" s="80">
        <f t="shared" si="2391"/>
        <v>0</v>
      </c>
      <c r="AA563" s="81"/>
      <c r="AB563" s="81"/>
      <c r="AC563" s="81"/>
      <c r="AD563" s="81"/>
      <c r="AE563" s="83"/>
      <c r="AF563" s="83"/>
      <c r="AG563" s="83"/>
      <c r="AH563" s="83"/>
      <c r="AI563" s="81"/>
      <c r="AJ563" s="81"/>
      <c r="AK563" s="81"/>
      <c r="AL563" s="81"/>
      <c r="AM563" s="81"/>
      <c r="AN563" s="81"/>
      <c r="AO563" s="81"/>
      <c r="AP563" s="81"/>
      <c r="AQ563" s="81"/>
      <c r="AR563" s="81"/>
      <c r="AS563" s="81"/>
      <c r="AT563" s="81"/>
      <c r="AU563" s="81"/>
      <c r="AV563" s="81"/>
      <c r="AW563" s="81"/>
      <c r="AX563" s="81"/>
      <c r="AY563" s="81">
        <f>2931.2</f>
        <v>2931.2</v>
      </c>
      <c r="AZ563" s="81"/>
      <c r="BA563" s="81"/>
      <c r="BB563" s="81"/>
      <c r="BC563" s="81"/>
      <c r="BD563" s="81"/>
      <c r="BE563" s="81"/>
      <c r="BF563" s="81"/>
      <c r="BG563" s="81"/>
      <c r="BH563" s="81"/>
      <c r="BI563" s="81"/>
      <c r="BJ563" s="81"/>
      <c r="BK563" s="82">
        <v>2931.2</v>
      </c>
      <c r="BL563" s="82">
        <v>0</v>
      </c>
      <c r="BM563" s="82">
        <v>0</v>
      </c>
      <c r="BN563" s="81">
        <f t="shared" ref="BN563:BN565" si="2683">IF(O563-BK563&gt;0,O563-BK563,0)</f>
        <v>0</v>
      </c>
      <c r="BO563" s="75">
        <f t="shared" ref="BO563:BO565" si="2684">IF(Q563-BM563&gt;0,Q563-BM563,0)</f>
        <v>0</v>
      </c>
      <c r="BP563" s="81">
        <f t="shared" ref="BP563:BP565" si="2685">IF(BN563+BO563&gt;0,BN563+BO563,0)</f>
        <v>0</v>
      </c>
      <c r="BQ563" s="81">
        <f t="shared" ref="BQ563:BQ565" si="2686">IF(U563=0,0,U563)</f>
        <v>0</v>
      </c>
      <c r="BR563" s="81">
        <f t="shared" ref="BR563:BR565" si="2687">IF(W563=0,0,W563)</f>
        <v>0</v>
      </c>
      <c r="BS563" s="81">
        <f t="shared" ref="BS563:BS565" si="2688">IF(BQ563+BR563&gt;0,BQ563+BR563,0)</f>
        <v>0</v>
      </c>
      <c r="BT563" s="81">
        <f t="shared" ref="BT563:BT565" si="2689">IF(V563&gt;0,V563,0)</f>
        <v>0</v>
      </c>
      <c r="BU563" s="81">
        <f t="shared" ref="BU563:BU565" si="2690">IF(BP563=0,0,BP563)</f>
        <v>0</v>
      </c>
      <c r="BV563" s="81">
        <f t="shared" ref="BV563:BV565" si="2691">IF(BS563=0,0,BS563)</f>
        <v>0</v>
      </c>
      <c r="BW563" s="81">
        <f t="shared" ref="BW563:BW565" si="2692">IF(BP563+BT563+BV563&gt;0,BP563+BT563+BV563,0)</f>
        <v>0</v>
      </c>
      <c r="BX563" s="1"/>
      <c r="BY563" s="1"/>
      <c r="BZ563" s="1"/>
      <c r="CA563" s="1"/>
      <c r="CB563" s="1"/>
      <c r="CC563" s="1"/>
      <c r="CD563" s="1"/>
      <c r="CE563" s="1"/>
      <c r="CF563" s="1"/>
      <c r="CG563" s="1"/>
    </row>
    <row r="564" spans="1:85" ht="15.75" customHeight="1">
      <c r="A564" s="84"/>
      <c r="B564" s="115"/>
      <c r="C564" s="86" t="s">
        <v>868</v>
      </c>
      <c r="D564" s="87" t="s">
        <v>869</v>
      </c>
      <c r="E564" s="70">
        <v>20000</v>
      </c>
      <c r="F564" s="93">
        <v>20000</v>
      </c>
      <c r="G564" s="71">
        <f t="shared" si="2676"/>
        <v>0</v>
      </c>
      <c r="H564" s="70"/>
      <c r="I564" s="72">
        <f t="shared" si="2631"/>
        <v>0</v>
      </c>
      <c r="J564" s="72">
        <f t="shared" si="2632"/>
        <v>0</v>
      </c>
      <c r="K564" s="76"/>
      <c r="L564" s="401"/>
      <c r="M564" s="81"/>
      <c r="N564" s="107"/>
      <c r="O564" s="77">
        <f t="shared" ref="O564:Q564" si="2693">AA564+AD564+AG564+AJ564+AM564+AP564+AS564+AV564+AY564+BB564+BE564+BH564</f>
        <v>0</v>
      </c>
      <c r="P564" s="77">
        <f t="shared" si="2693"/>
        <v>0</v>
      </c>
      <c r="Q564" s="77">
        <f t="shared" si="2693"/>
        <v>0</v>
      </c>
      <c r="R564" s="77">
        <f t="shared" ref="R564:T564" si="2694">IF(BK564=0,SUM(AA564+AD564+AG564+AJ564+AM564+AP564+AS564+AV564+AY564+BB564+BE564+BH564),BK564)</f>
        <v>0</v>
      </c>
      <c r="S564" s="77">
        <f t="shared" si="2694"/>
        <v>0</v>
      </c>
      <c r="T564" s="77">
        <f t="shared" si="2694"/>
        <v>0</v>
      </c>
      <c r="U564" s="79">
        <f t="shared" si="2679"/>
        <v>0</v>
      </c>
      <c r="V564" s="79">
        <f t="shared" si="2680"/>
        <v>0</v>
      </c>
      <c r="W564" s="79">
        <f t="shared" si="2681"/>
        <v>0</v>
      </c>
      <c r="X564" s="80">
        <f t="shared" ref="X564:Y564" si="2695">IF(O564&gt;0,O564/K564,0)</f>
        <v>0</v>
      </c>
      <c r="Y564" s="80">
        <f t="shared" si="2695"/>
        <v>0</v>
      </c>
      <c r="Z564" s="80">
        <f t="shared" si="2391"/>
        <v>0</v>
      </c>
      <c r="AA564" s="81"/>
      <c r="AB564" s="81"/>
      <c r="AC564" s="81"/>
      <c r="AD564" s="81"/>
      <c r="AE564" s="83"/>
      <c r="AF564" s="83"/>
      <c r="AG564" s="83"/>
      <c r="AH564" s="83"/>
      <c r="AI564" s="81"/>
      <c r="AJ564" s="81"/>
      <c r="AK564" s="81"/>
      <c r="AL564" s="81"/>
      <c r="AM564" s="81"/>
      <c r="AN564" s="81"/>
      <c r="AO564" s="81"/>
      <c r="AP564" s="81"/>
      <c r="AQ564" s="81"/>
      <c r="AR564" s="81"/>
      <c r="AS564" s="81"/>
      <c r="AT564" s="81"/>
      <c r="AU564" s="81"/>
      <c r="AV564" s="81"/>
      <c r="AW564" s="81"/>
      <c r="AX564" s="81"/>
      <c r="AY564" s="81"/>
      <c r="AZ564" s="81"/>
      <c r="BA564" s="81"/>
      <c r="BB564" s="81"/>
      <c r="BC564" s="81"/>
      <c r="BD564" s="81"/>
      <c r="BE564" s="81"/>
      <c r="BF564" s="81"/>
      <c r="BG564" s="81"/>
      <c r="BH564" s="81"/>
      <c r="BI564" s="81"/>
      <c r="BJ564" s="81"/>
      <c r="BK564" s="82">
        <v>0</v>
      </c>
      <c r="BL564" s="82">
        <v>0</v>
      </c>
      <c r="BM564" s="82">
        <v>0</v>
      </c>
      <c r="BN564" s="81">
        <f t="shared" si="2683"/>
        <v>0</v>
      </c>
      <c r="BO564" s="75">
        <f t="shared" si="2684"/>
        <v>0</v>
      </c>
      <c r="BP564" s="81">
        <f t="shared" si="2685"/>
        <v>0</v>
      </c>
      <c r="BQ564" s="81">
        <f t="shared" si="2686"/>
        <v>0</v>
      </c>
      <c r="BR564" s="81">
        <f t="shared" si="2687"/>
        <v>0</v>
      </c>
      <c r="BS564" s="81">
        <f t="shared" si="2688"/>
        <v>0</v>
      </c>
      <c r="BT564" s="81">
        <f t="shared" si="2689"/>
        <v>0</v>
      </c>
      <c r="BU564" s="81">
        <f t="shared" si="2690"/>
        <v>0</v>
      </c>
      <c r="BV564" s="81">
        <f t="shared" si="2691"/>
        <v>0</v>
      </c>
      <c r="BW564" s="81">
        <f t="shared" si="2692"/>
        <v>0</v>
      </c>
      <c r="BX564" s="1"/>
      <c r="BY564" s="1"/>
      <c r="BZ564" s="1"/>
      <c r="CA564" s="1"/>
      <c r="CB564" s="1"/>
      <c r="CC564" s="1"/>
      <c r="CD564" s="1"/>
      <c r="CE564" s="1"/>
      <c r="CF564" s="1"/>
      <c r="CG564" s="1"/>
    </row>
    <row r="565" spans="1:85" ht="15.75" customHeight="1">
      <c r="A565" s="84"/>
      <c r="B565" s="115"/>
      <c r="C565" s="86" t="s">
        <v>166</v>
      </c>
      <c r="D565" s="167" t="s">
        <v>870</v>
      </c>
      <c r="E565" s="163">
        <v>2000</v>
      </c>
      <c r="F565" s="164"/>
      <c r="G565" s="71">
        <f t="shared" si="2676"/>
        <v>2000</v>
      </c>
      <c r="H565" s="70"/>
      <c r="I565" s="72">
        <f t="shared" si="2631"/>
        <v>0</v>
      </c>
      <c r="J565" s="72">
        <f t="shared" si="2632"/>
        <v>0</v>
      </c>
      <c r="K565" s="76"/>
      <c r="L565" s="401"/>
      <c r="M565" s="81"/>
      <c r="N565" s="107"/>
      <c r="O565" s="77">
        <f t="shared" ref="O565:Q565" si="2696">AA565+AD565+AG565+AJ565+AM565+AP565+AS565+AV565+AY565+BB565+BE565+BH565</f>
        <v>0</v>
      </c>
      <c r="P565" s="77">
        <f t="shared" si="2696"/>
        <v>0</v>
      </c>
      <c r="Q565" s="77">
        <f t="shared" si="2696"/>
        <v>0</v>
      </c>
      <c r="R565" s="77">
        <f t="shared" ref="R565:T565" si="2697">IF(BK565=0,SUM(AA565+AD565+AG565+AJ565+AM565+AP565+AS565+AV565+AY565+BB565+BE565+BH565),BK565)</f>
        <v>0</v>
      </c>
      <c r="S565" s="77">
        <f t="shared" si="2697"/>
        <v>0</v>
      </c>
      <c r="T565" s="77">
        <f t="shared" si="2697"/>
        <v>0</v>
      </c>
      <c r="U565" s="79">
        <f t="shared" si="2679"/>
        <v>0</v>
      </c>
      <c r="V565" s="79">
        <f t="shared" si="2680"/>
        <v>0</v>
      </c>
      <c r="W565" s="79">
        <f t="shared" si="2681"/>
        <v>0</v>
      </c>
      <c r="X565" s="80">
        <f t="shared" ref="X565:Y565" si="2698">IF(O565&gt;0,O565/K565,0)</f>
        <v>0</v>
      </c>
      <c r="Y565" s="80">
        <f t="shared" si="2698"/>
        <v>0</v>
      </c>
      <c r="Z565" s="80">
        <f t="shared" si="2391"/>
        <v>0</v>
      </c>
      <c r="AA565" s="81"/>
      <c r="AB565" s="81"/>
      <c r="AC565" s="81"/>
      <c r="AD565" s="81"/>
      <c r="AE565" s="83"/>
      <c r="AF565" s="83"/>
      <c r="AG565" s="83"/>
      <c r="AH565" s="83"/>
      <c r="AI565" s="81"/>
      <c r="AJ565" s="81"/>
      <c r="AK565" s="81"/>
      <c r="AL565" s="81"/>
      <c r="AM565" s="81"/>
      <c r="AN565" s="81"/>
      <c r="AO565" s="81"/>
      <c r="AP565" s="81"/>
      <c r="AQ565" s="81"/>
      <c r="AR565" s="81"/>
      <c r="AS565" s="81"/>
      <c r="AT565" s="81"/>
      <c r="AU565" s="81"/>
      <c r="AV565" s="81"/>
      <c r="AW565" s="81"/>
      <c r="AX565" s="81"/>
      <c r="AY565" s="81"/>
      <c r="AZ565" s="81"/>
      <c r="BA565" s="81"/>
      <c r="BB565" s="81"/>
      <c r="BC565" s="81"/>
      <c r="BD565" s="81"/>
      <c r="BE565" s="81"/>
      <c r="BF565" s="81"/>
      <c r="BG565" s="81"/>
      <c r="BH565" s="81"/>
      <c r="BI565" s="81"/>
      <c r="BJ565" s="81"/>
      <c r="BK565" s="82">
        <v>0</v>
      </c>
      <c r="BL565" s="82">
        <v>0</v>
      </c>
      <c r="BM565" s="82">
        <v>0</v>
      </c>
      <c r="BN565" s="81">
        <f t="shared" si="2683"/>
        <v>0</v>
      </c>
      <c r="BO565" s="75">
        <f t="shared" si="2684"/>
        <v>0</v>
      </c>
      <c r="BP565" s="81">
        <f t="shared" si="2685"/>
        <v>0</v>
      </c>
      <c r="BQ565" s="81">
        <f t="shared" si="2686"/>
        <v>0</v>
      </c>
      <c r="BR565" s="81">
        <f t="shared" si="2687"/>
        <v>0</v>
      </c>
      <c r="BS565" s="81">
        <f t="shared" si="2688"/>
        <v>0</v>
      </c>
      <c r="BT565" s="81">
        <f t="shared" si="2689"/>
        <v>0</v>
      </c>
      <c r="BU565" s="81">
        <f t="shared" si="2690"/>
        <v>0</v>
      </c>
      <c r="BV565" s="81">
        <f t="shared" si="2691"/>
        <v>0</v>
      </c>
      <c r="BW565" s="81">
        <f t="shared" si="2692"/>
        <v>0</v>
      </c>
      <c r="BX565" s="1"/>
      <c r="BY565" s="1"/>
      <c r="BZ565" s="1"/>
      <c r="CA565" s="1"/>
      <c r="CB565" s="1"/>
      <c r="CC565" s="1"/>
      <c r="CD565" s="1"/>
      <c r="CE565" s="1"/>
      <c r="CF565" s="1"/>
      <c r="CG565" s="1"/>
    </row>
    <row r="566" spans="1:85" ht="15.75">
      <c r="A566" s="270"/>
      <c r="B566" s="271"/>
      <c r="C566" s="272"/>
      <c r="D566" s="112" t="s">
        <v>452</v>
      </c>
      <c r="E566" s="286">
        <f t="shared" ref="E566:H566" si="2699">SUM(E567:E568)</f>
        <v>10000</v>
      </c>
      <c r="F566" s="362">
        <f t="shared" si="2699"/>
        <v>0</v>
      </c>
      <c r="G566" s="362">
        <f t="shared" si="2699"/>
        <v>10000</v>
      </c>
      <c r="H566" s="362">
        <f t="shared" si="2699"/>
        <v>0</v>
      </c>
      <c r="I566" s="287">
        <f t="shared" si="2631"/>
        <v>0</v>
      </c>
      <c r="J566" s="287">
        <f t="shared" si="2632"/>
        <v>0</v>
      </c>
      <c r="K566" s="362">
        <f t="shared" ref="K566:W566" si="2700">SUM(K567:K568)</f>
        <v>0</v>
      </c>
      <c r="L566" s="362">
        <f t="shared" si="2700"/>
        <v>0</v>
      </c>
      <c r="M566" s="362">
        <f t="shared" si="2700"/>
        <v>0</v>
      </c>
      <c r="N566" s="362">
        <f t="shared" si="2700"/>
        <v>0</v>
      </c>
      <c r="O566" s="362">
        <f t="shared" si="2700"/>
        <v>0</v>
      </c>
      <c r="P566" s="362">
        <f t="shared" si="2700"/>
        <v>0</v>
      </c>
      <c r="Q566" s="362">
        <f t="shared" si="2700"/>
        <v>0</v>
      </c>
      <c r="R566" s="362">
        <f t="shared" si="2700"/>
        <v>0</v>
      </c>
      <c r="S566" s="362">
        <f t="shared" si="2700"/>
        <v>0</v>
      </c>
      <c r="T566" s="362">
        <f t="shared" si="2700"/>
        <v>0</v>
      </c>
      <c r="U566" s="362">
        <f t="shared" si="2700"/>
        <v>0</v>
      </c>
      <c r="V566" s="362">
        <f t="shared" si="2700"/>
        <v>0</v>
      </c>
      <c r="W566" s="362">
        <f t="shared" si="2700"/>
        <v>0</v>
      </c>
      <c r="X566" s="288">
        <f t="shared" ref="X566:Y566" si="2701">IF(O566&gt;0,O566/K566,0)</f>
        <v>0</v>
      </c>
      <c r="Y566" s="288">
        <f t="shared" si="2701"/>
        <v>0</v>
      </c>
      <c r="Z566" s="288">
        <f t="shared" si="2391"/>
        <v>0</v>
      </c>
      <c r="AA566" s="362">
        <f t="shared" ref="AA566:BW566" si="2702">SUM(AA567:AA568)</f>
        <v>0</v>
      </c>
      <c r="AB566" s="362">
        <f t="shared" si="2702"/>
        <v>0</v>
      </c>
      <c r="AC566" s="362">
        <f t="shared" si="2702"/>
        <v>0</v>
      </c>
      <c r="AD566" s="362">
        <f t="shared" si="2702"/>
        <v>0</v>
      </c>
      <c r="AE566" s="362">
        <f t="shared" si="2702"/>
        <v>0</v>
      </c>
      <c r="AF566" s="362">
        <f t="shared" si="2702"/>
        <v>0</v>
      </c>
      <c r="AG566" s="362">
        <f t="shared" si="2702"/>
        <v>0</v>
      </c>
      <c r="AH566" s="362">
        <f t="shared" si="2702"/>
        <v>0</v>
      </c>
      <c r="AI566" s="362">
        <f t="shared" si="2702"/>
        <v>0</v>
      </c>
      <c r="AJ566" s="362">
        <f t="shared" si="2702"/>
        <v>0</v>
      </c>
      <c r="AK566" s="362">
        <f t="shared" si="2702"/>
        <v>0</v>
      </c>
      <c r="AL566" s="362">
        <f t="shared" si="2702"/>
        <v>0</v>
      </c>
      <c r="AM566" s="362">
        <f t="shared" si="2702"/>
        <v>0</v>
      </c>
      <c r="AN566" s="362">
        <f t="shared" si="2702"/>
        <v>0</v>
      </c>
      <c r="AO566" s="362">
        <f t="shared" si="2702"/>
        <v>0</v>
      </c>
      <c r="AP566" s="362">
        <f t="shared" si="2702"/>
        <v>0</v>
      </c>
      <c r="AQ566" s="362">
        <f t="shared" si="2702"/>
        <v>0</v>
      </c>
      <c r="AR566" s="362">
        <f t="shared" si="2702"/>
        <v>0</v>
      </c>
      <c r="AS566" s="362">
        <f t="shared" si="2702"/>
        <v>0</v>
      </c>
      <c r="AT566" s="362">
        <f t="shared" si="2702"/>
        <v>0</v>
      </c>
      <c r="AU566" s="362">
        <f t="shared" si="2702"/>
        <v>0</v>
      </c>
      <c r="AV566" s="362">
        <f t="shared" si="2702"/>
        <v>0</v>
      </c>
      <c r="AW566" s="362">
        <f t="shared" si="2702"/>
        <v>0</v>
      </c>
      <c r="AX566" s="362">
        <f t="shared" si="2702"/>
        <v>0</v>
      </c>
      <c r="AY566" s="362">
        <f t="shared" si="2702"/>
        <v>0</v>
      </c>
      <c r="AZ566" s="362">
        <f t="shared" si="2702"/>
        <v>0</v>
      </c>
      <c r="BA566" s="362">
        <f t="shared" si="2702"/>
        <v>0</v>
      </c>
      <c r="BB566" s="362">
        <f t="shared" si="2702"/>
        <v>0</v>
      </c>
      <c r="BC566" s="362">
        <f t="shared" si="2702"/>
        <v>0</v>
      </c>
      <c r="BD566" s="362">
        <f t="shared" si="2702"/>
        <v>0</v>
      </c>
      <c r="BE566" s="362">
        <f t="shared" si="2702"/>
        <v>0</v>
      </c>
      <c r="BF566" s="362">
        <f t="shared" si="2702"/>
        <v>0</v>
      </c>
      <c r="BG566" s="362">
        <f t="shared" si="2702"/>
        <v>0</v>
      </c>
      <c r="BH566" s="362">
        <f t="shared" si="2702"/>
        <v>0</v>
      </c>
      <c r="BI566" s="362">
        <f t="shared" si="2702"/>
        <v>0</v>
      </c>
      <c r="BJ566" s="362">
        <f t="shared" si="2702"/>
        <v>0</v>
      </c>
      <c r="BK566" s="362">
        <f t="shared" si="2702"/>
        <v>0</v>
      </c>
      <c r="BL566" s="362">
        <f t="shared" si="2702"/>
        <v>0</v>
      </c>
      <c r="BM566" s="362">
        <f t="shared" si="2702"/>
        <v>0</v>
      </c>
      <c r="BN566" s="362">
        <f t="shared" si="2702"/>
        <v>0</v>
      </c>
      <c r="BO566" s="362">
        <f t="shared" si="2702"/>
        <v>0</v>
      </c>
      <c r="BP566" s="362">
        <f t="shared" si="2702"/>
        <v>0</v>
      </c>
      <c r="BQ566" s="362">
        <f t="shared" si="2702"/>
        <v>0</v>
      </c>
      <c r="BR566" s="362">
        <f t="shared" si="2702"/>
        <v>0</v>
      </c>
      <c r="BS566" s="362">
        <f t="shared" si="2702"/>
        <v>0</v>
      </c>
      <c r="BT566" s="362">
        <f t="shared" si="2702"/>
        <v>0</v>
      </c>
      <c r="BU566" s="362">
        <f t="shared" si="2702"/>
        <v>0</v>
      </c>
      <c r="BV566" s="362">
        <f t="shared" si="2702"/>
        <v>0</v>
      </c>
      <c r="BW566" s="362">
        <f t="shared" si="2702"/>
        <v>0</v>
      </c>
      <c r="BX566" s="1"/>
      <c r="BY566" s="1"/>
      <c r="BZ566" s="1"/>
      <c r="CA566" s="1"/>
      <c r="CB566" s="1"/>
      <c r="CC566" s="1"/>
      <c r="CD566" s="1"/>
      <c r="CE566" s="1"/>
      <c r="CF566" s="1"/>
      <c r="CG566" s="1"/>
    </row>
    <row r="567" spans="1:85" ht="15.75" customHeight="1">
      <c r="A567" s="84"/>
      <c r="B567" s="115"/>
      <c r="C567" s="86" t="s">
        <v>453</v>
      </c>
      <c r="D567" s="149" t="s">
        <v>871</v>
      </c>
      <c r="E567" s="70">
        <v>0</v>
      </c>
      <c r="F567" s="71"/>
      <c r="G567" s="71">
        <f t="shared" ref="G567:G568" si="2703">E567-F567</f>
        <v>0</v>
      </c>
      <c r="H567" s="70"/>
      <c r="I567" s="72">
        <f t="shared" si="2631"/>
        <v>0</v>
      </c>
      <c r="J567" s="72">
        <f t="shared" si="2632"/>
        <v>0</v>
      </c>
      <c r="K567" s="76"/>
      <c r="L567" s="401"/>
      <c r="M567" s="81"/>
      <c r="N567" s="107"/>
      <c r="O567" s="77">
        <f t="shared" ref="O567:Q567" si="2704">AA567+AD567+AG567+AJ567+AM567+AP567+AS567+AV567+AY567+BB567+BE567+BH567</f>
        <v>0</v>
      </c>
      <c r="P567" s="77">
        <f t="shared" si="2704"/>
        <v>0</v>
      </c>
      <c r="Q567" s="77">
        <f t="shared" si="2704"/>
        <v>0</v>
      </c>
      <c r="R567" s="77">
        <f t="shared" ref="R567:T567" si="2705">IF(BK567=0,SUM(AA567+AD567+AG567+AJ567+AM567+AP567+AS567+AV567+AY567+BB567+BE567+BH567),BK567)</f>
        <v>0</v>
      </c>
      <c r="S567" s="77">
        <f t="shared" si="2705"/>
        <v>0</v>
      </c>
      <c r="T567" s="77">
        <f t="shared" si="2705"/>
        <v>0</v>
      </c>
      <c r="U567" s="79">
        <f t="shared" ref="U567:U568" si="2706">K567-O567</f>
        <v>0</v>
      </c>
      <c r="V567" s="79">
        <f t="shared" ref="V567:V568" si="2707">L567-M567-S567</f>
        <v>0</v>
      </c>
      <c r="W567" s="79">
        <f t="shared" ref="W567:W568" si="2708">N567-Q567</f>
        <v>0</v>
      </c>
      <c r="X567" s="80">
        <f t="shared" ref="X567:Y567" si="2709">IF(O567&gt;0,O567/K567,0)</f>
        <v>0</v>
      </c>
      <c r="Y567" s="80">
        <f t="shared" si="2709"/>
        <v>0</v>
      </c>
      <c r="Z567" s="80">
        <f t="shared" si="2391"/>
        <v>0</v>
      </c>
      <c r="AA567" s="81"/>
      <c r="AB567" s="81"/>
      <c r="AC567" s="81"/>
      <c r="AD567" s="81"/>
      <c r="AE567" s="83"/>
      <c r="AF567" s="83"/>
      <c r="AG567" s="83"/>
      <c r="AH567" s="83"/>
      <c r="AI567" s="81"/>
      <c r="AJ567" s="81"/>
      <c r="AK567" s="81"/>
      <c r="AL567" s="81"/>
      <c r="AM567" s="81"/>
      <c r="AN567" s="81"/>
      <c r="AO567" s="81"/>
      <c r="AP567" s="81"/>
      <c r="AQ567" s="81"/>
      <c r="AR567" s="81"/>
      <c r="AS567" s="81"/>
      <c r="AT567" s="81"/>
      <c r="AU567" s="81"/>
      <c r="AV567" s="81"/>
      <c r="AW567" s="81"/>
      <c r="AX567" s="81"/>
      <c r="AY567" s="81"/>
      <c r="AZ567" s="81"/>
      <c r="BA567" s="81"/>
      <c r="BB567" s="81"/>
      <c r="BC567" s="81"/>
      <c r="BD567" s="81"/>
      <c r="BE567" s="81"/>
      <c r="BF567" s="81"/>
      <c r="BG567" s="81"/>
      <c r="BH567" s="81"/>
      <c r="BI567" s="81"/>
      <c r="BJ567" s="81"/>
      <c r="BK567" s="82">
        <v>0</v>
      </c>
      <c r="BL567" s="82">
        <v>0</v>
      </c>
      <c r="BM567" s="82">
        <v>0</v>
      </c>
      <c r="BN567" s="81">
        <f t="shared" ref="BN567:BN568" si="2710">IF(O567-BK567&gt;0,O567-BK567,0)</f>
        <v>0</v>
      </c>
      <c r="BO567" s="75">
        <f t="shared" ref="BO567:BO568" si="2711">IF(Q567-BM567&gt;0,Q567-BM567,0)</f>
        <v>0</v>
      </c>
      <c r="BP567" s="81">
        <f t="shared" ref="BP567:BP568" si="2712">IF(BN567+BO567&gt;0,BN567+BO567,0)</f>
        <v>0</v>
      </c>
      <c r="BQ567" s="81">
        <f t="shared" ref="BQ567:BQ568" si="2713">IF(U567=0,0,U567)</f>
        <v>0</v>
      </c>
      <c r="BR567" s="81">
        <f t="shared" ref="BR567:BR568" si="2714">IF(W567=0,0,W567)</f>
        <v>0</v>
      </c>
      <c r="BS567" s="81">
        <f t="shared" ref="BS567:BS568" si="2715">IF(BQ567+BR567&gt;0,BQ567+BR567,0)</f>
        <v>0</v>
      </c>
      <c r="BT567" s="81">
        <f t="shared" ref="BT567:BT568" si="2716">IF(V567&gt;0,V567,0)</f>
        <v>0</v>
      </c>
      <c r="BU567" s="81">
        <f t="shared" ref="BU567:BU568" si="2717">IF(BP567=0,0,BP567)</f>
        <v>0</v>
      </c>
      <c r="BV567" s="81">
        <f t="shared" ref="BV567:BV568" si="2718">IF(BS567=0,0,BS567)</f>
        <v>0</v>
      </c>
      <c r="BW567" s="81">
        <f t="shared" ref="BW567:BW568" si="2719">IF(BP567+BT567+BV567&gt;0,BP567+BT567+BV567,0)</f>
        <v>0</v>
      </c>
      <c r="BX567" s="1"/>
      <c r="BY567" s="1"/>
      <c r="BZ567" s="1"/>
      <c r="CA567" s="1"/>
      <c r="CB567" s="1"/>
      <c r="CC567" s="1"/>
      <c r="CD567" s="1"/>
      <c r="CE567" s="1"/>
      <c r="CF567" s="1"/>
      <c r="CG567" s="1"/>
    </row>
    <row r="568" spans="1:85" ht="15.75" customHeight="1">
      <c r="A568" s="84"/>
      <c r="B568" s="115"/>
      <c r="C568" s="86" t="s">
        <v>460</v>
      </c>
      <c r="D568" s="167" t="s">
        <v>872</v>
      </c>
      <c r="E568" s="163">
        <v>10000</v>
      </c>
      <c r="F568" s="164">
        <v>0</v>
      </c>
      <c r="G568" s="71">
        <f t="shared" si="2703"/>
        <v>10000</v>
      </c>
      <c r="H568" s="70"/>
      <c r="I568" s="72">
        <f t="shared" si="2631"/>
        <v>0</v>
      </c>
      <c r="J568" s="72">
        <f t="shared" si="2632"/>
        <v>0</v>
      </c>
      <c r="K568" s="76"/>
      <c r="L568" s="401"/>
      <c r="M568" s="81"/>
      <c r="N568" s="107"/>
      <c r="O568" s="77">
        <f t="shared" ref="O568:Q568" si="2720">AA568+AD568+AG568+AJ568+AM568+AP568+AS568+AV568+AY568+BB568+BE568+BH568</f>
        <v>0</v>
      </c>
      <c r="P568" s="77">
        <f t="shared" si="2720"/>
        <v>0</v>
      </c>
      <c r="Q568" s="77">
        <f t="shared" si="2720"/>
        <v>0</v>
      </c>
      <c r="R568" s="77">
        <f t="shared" ref="R568:T568" si="2721">IF(BK568=0,SUM(AA568+AD568+AG568+AJ568+AM568+AP568+AS568+AV568+AY568+BB568+BE568+BH568),BK568)</f>
        <v>0</v>
      </c>
      <c r="S568" s="77">
        <f t="shared" si="2721"/>
        <v>0</v>
      </c>
      <c r="T568" s="77">
        <f t="shared" si="2721"/>
        <v>0</v>
      </c>
      <c r="U568" s="79">
        <f t="shared" si="2706"/>
        <v>0</v>
      </c>
      <c r="V568" s="79">
        <f t="shared" si="2707"/>
        <v>0</v>
      </c>
      <c r="W568" s="79">
        <f t="shared" si="2708"/>
        <v>0</v>
      </c>
      <c r="X568" s="80">
        <f t="shared" ref="X568:Y568" si="2722">IF(O568&gt;0,O568/K568,0)</f>
        <v>0</v>
      </c>
      <c r="Y568" s="80">
        <f t="shared" si="2722"/>
        <v>0</v>
      </c>
      <c r="Z568" s="80">
        <f t="shared" si="2391"/>
        <v>0</v>
      </c>
      <c r="AA568" s="81"/>
      <c r="AB568" s="81"/>
      <c r="AC568" s="81"/>
      <c r="AD568" s="81"/>
      <c r="AE568" s="83"/>
      <c r="AF568" s="83"/>
      <c r="AG568" s="83"/>
      <c r="AH568" s="83"/>
      <c r="AI568" s="81"/>
      <c r="AJ568" s="81"/>
      <c r="AK568" s="81"/>
      <c r="AL568" s="81"/>
      <c r="AM568" s="81"/>
      <c r="AN568" s="81"/>
      <c r="AO568" s="81"/>
      <c r="AP568" s="81"/>
      <c r="AQ568" s="81"/>
      <c r="AR568" s="81"/>
      <c r="AS568" s="81"/>
      <c r="AT568" s="81"/>
      <c r="AU568" s="81"/>
      <c r="AV568" s="81"/>
      <c r="AW568" s="81"/>
      <c r="AX568" s="81"/>
      <c r="AY568" s="81"/>
      <c r="AZ568" s="81"/>
      <c r="BA568" s="81"/>
      <c r="BB568" s="81"/>
      <c r="BC568" s="81"/>
      <c r="BD568" s="81"/>
      <c r="BE568" s="81"/>
      <c r="BF568" s="81"/>
      <c r="BG568" s="81"/>
      <c r="BH568" s="81"/>
      <c r="BI568" s="81"/>
      <c r="BJ568" s="81"/>
      <c r="BK568" s="82">
        <v>0</v>
      </c>
      <c r="BL568" s="82">
        <v>0</v>
      </c>
      <c r="BM568" s="82">
        <v>0</v>
      </c>
      <c r="BN568" s="81">
        <f t="shared" si="2710"/>
        <v>0</v>
      </c>
      <c r="BO568" s="75">
        <f t="shared" si="2711"/>
        <v>0</v>
      </c>
      <c r="BP568" s="81">
        <f t="shared" si="2712"/>
        <v>0</v>
      </c>
      <c r="BQ568" s="81">
        <f t="shared" si="2713"/>
        <v>0</v>
      </c>
      <c r="BR568" s="81">
        <f t="shared" si="2714"/>
        <v>0</v>
      </c>
      <c r="BS568" s="81">
        <f t="shared" si="2715"/>
        <v>0</v>
      </c>
      <c r="BT568" s="81">
        <f t="shared" si="2716"/>
        <v>0</v>
      </c>
      <c r="BU568" s="81">
        <f t="shared" si="2717"/>
        <v>0</v>
      </c>
      <c r="BV568" s="81">
        <f t="shared" si="2718"/>
        <v>0</v>
      </c>
      <c r="BW568" s="81">
        <f t="shared" si="2719"/>
        <v>0</v>
      </c>
      <c r="BX568" s="1"/>
      <c r="BY568" s="1"/>
      <c r="BZ568" s="1"/>
      <c r="CA568" s="1"/>
      <c r="CB568" s="1"/>
      <c r="CC568" s="1"/>
      <c r="CD568" s="1"/>
      <c r="CE568" s="1"/>
      <c r="CF568" s="1"/>
      <c r="CG568" s="1"/>
    </row>
    <row r="569" spans="1:85" ht="15.75">
      <c r="A569" s="109"/>
      <c r="B569" s="110"/>
      <c r="C569" s="111"/>
      <c r="D569" s="57" t="s">
        <v>251</v>
      </c>
      <c r="E569" s="58">
        <f t="shared" ref="E569:H569" si="2723">SUM(E570:E575)</f>
        <v>130000</v>
      </c>
      <c r="F569" s="58">
        <f t="shared" si="2723"/>
        <v>100000</v>
      </c>
      <c r="G569" s="58">
        <f t="shared" si="2723"/>
        <v>30000</v>
      </c>
      <c r="H569" s="58">
        <f t="shared" si="2723"/>
        <v>0</v>
      </c>
      <c r="I569" s="60">
        <f t="shared" si="2631"/>
        <v>0.80066666666666664</v>
      </c>
      <c r="J569" s="60">
        <f t="shared" si="2632"/>
        <v>0.75666666666666671</v>
      </c>
      <c r="K569" s="58">
        <f t="shared" ref="K569:W569" si="2724">SUM(K570:K575)</f>
        <v>24020</v>
      </c>
      <c r="L569" s="58">
        <f t="shared" si="2724"/>
        <v>0</v>
      </c>
      <c r="M569" s="58">
        <f t="shared" si="2724"/>
        <v>0</v>
      </c>
      <c r="N569" s="58">
        <f t="shared" si="2724"/>
        <v>0</v>
      </c>
      <c r="O569" s="58">
        <f t="shared" si="2724"/>
        <v>22700</v>
      </c>
      <c r="P569" s="58">
        <f t="shared" si="2724"/>
        <v>0</v>
      </c>
      <c r="Q569" s="58">
        <f t="shared" si="2724"/>
        <v>0</v>
      </c>
      <c r="R569" s="58">
        <f t="shared" si="2724"/>
        <v>22700</v>
      </c>
      <c r="S569" s="58">
        <f t="shared" si="2724"/>
        <v>0</v>
      </c>
      <c r="T569" s="58">
        <f t="shared" si="2724"/>
        <v>0</v>
      </c>
      <c r="U569" s="58">
        <f t="shared" si="2724"/>
        <v>1320</v>
      </c>
      <c r="V569" s="58">
        <f t="shared" si="2724"/>
        <v>0</v>
      </c>
      <c r="W569" s="58">
        <f t="shared" si="2724"/>
        <v>0</v>
      </c>
      <c r="X569" s="63">
        <f t="shared" ref="X569:Y569" si="2725">IF(O569&gt;0,O569/K569,0)</f>
        <v>0.94504579517069109</v>
      </c>
      <c r="Y569" s="63">
        <f t="shared" si="2725"/>
        <v>0</v>
      </c>
      <c r="Z569" s="63">
        <f t="shared" si="2391"/>
        <v>0</v>
      </c>
      <c r="AA569" s="58">
        <f t="shared" ref="AA569:BW569" si="2726">SUM(AA570:AA575)</f>
        <v>0</v>
      </c>
      <c r="AB569" s="58">
        <f t="shared" si="2726"/>
        <v>0</v>
      </c>
      <c r="AC569" s="58">
        <f t="shared" si="2726"/>
        <v>0</v>
      </c>
      <c r="AD569" s="58">
        <f t="shared" si="2726"/>
        <v>0</v>
      </c>
      <c r="AE569" s="58">
        <f t="shared" si="2726"/>
        <v>0</v>
      </c>
      <c r="AF569" s="58">
        <f t="shared" si="2726"/>
        <v>0</v>
      </c>
      <c r="AG569" s="58">
        <f t="shared" si="2726"/>
        <v>0</v>
      </c>
      <c r="AH569" s="58">
        <f t="shared" si="2726"/>
        <v>0</v>
      </c>
      <c r="AI569" s="58">
        <f t="shared" si="2726"/>
        <v>0</v>
      </c>
      <c r="AJ569" s="58">
        <f t="shared" si="2726"/>
        <v>0</v>
      </c>
      <c r="AK569" s="58">
        <f t="shared" si="2726"/>
        <v>0</v>
      </c>
      <c r="AL569" s="58">
        <f t="shared" si="2726"/>
        <v>0</v>
      </c>
      <c r="AM569" s="58">
        <f t="shared" si="2726"/>
        <v>0</v>
      </c>
      <c r="AN569" s="58">
        <f t="shared" si="2726"/>
        <v>0</v>
      </c>
      <c r="AO569" s="58">
        <f t="shared" si="2726"/>
        <v>0</v>
      </c>
      <c r="AP569" s="58">
        <f t="shared" si="2726"/>
        <v>0</v>
      </c>
      <c r="AQ569" s="58">
        <f t="shared" si="2726"/>
        <v>0</v>
      </c>
      <c r="AR569" s="58">
        <f t="shared" si="2726"/>
        <v>0</v>
      </c>
      <c r="AS569" s="58">
        <f t="shared" si="2726"/>
        <v>0</v>
      </c>
      <c r="AT569" s="58">
        <f t="shared" si="2726"/>
        <v>0</v>
      </c>
      <c r="AU569" s="58">
        <f t="shared" si="2726"/>
        <v>0</v>
      </c>
      <c r="AV569" s="58">
        <f t="shared" si="2726"/>
        <v>3500</v>
      </c>
      <c r="AW569" s="58">
        <f t="shared" si="2726"/>
        <v>0</v>
      </c>
      <c r="AX569" s="58">
        <f t="shared" si="2726"/>
        <v>0</v>
      </c>
      <c r="AY569" s="58">
        <f t="shared" si="2726"/>
        <v>0</v>
      </c>
      <c r="AZ569" s="58">
        <f t="shared" si="2726"/>
        <v>0</v>
      </c>
      <c r="BA569" s="58">
        <f t="shared" si="2726"/>
        <v>0</v>
      </c>
      <c r="BB569" s="58">
        <f t="shared" si="2726"/>
        <v>6660</v>
      </c>
      <c r="BC569" s="58">
        <f t="shared" si="2726"/>
        <v>0</v>
      </c>
      <c r="BD569" s="58">
        <f t="shared" si="2726"/>
        <v>0</v>
      </c>
      <c r="BE569" s="58">
        <f t="shared" si="2726"/>
        <v>5940</v>
      </c>
      <c r="BF569" s="58">
        <f t="shared" si="2726"/>
        <v>0</v>
      </c>
      <c r="BG569" s="58">
        <f t="shared" si="2726"/>
        <v>0</v>
      </c>
      <c r="BH569" s="58">
        <f t="shared" si="2726"/>
        <v>6600</v>
      </c>
      <c r="BI569" s="58">
        <f t="shared" si="2726"/>
        <v>0</v>
      </c>
      <c r="BJ569" s="58">
        <f t="shared" si="2726"/>
        <v>0</v>
      </c>
      <c r="BK569" s="58">
        <f t="shared" si="2726"/>
        <v>22700</v>
      </c>
      <c r="BL569" s="58">
        <f t="shared" si="2726"/>
        <v>0</v>
      </c>
      <c r="BM569" s="58">
        <f t="shared" si="2726"/>
        <v>0</v>
      </c>
      <c r="BN569" s="58">
        <f t="shared" si="2726"/>
        <v>0</v>
      </c>
      <c r="BO569" s="58">
        <f t="shared" si="2726"/>
        <v>0</v>
      </c>
      <c r="BP569" s="58">
        <f t="shared" si="2726"/>
        <v>0</v>
      </c>
      <c r="BQ569" s="58">
        <f t="shared" si="2726"/>
        <v>1320</v>
      </c>
      <c r="BR569" s="58">
        <f t="shared" si="2726"/>
        <v>0</v>
      </c>
      <c r="BS569" s="58">
        <f t="shared" si="2726"/>
        <v>1320</v>
      </c>
      <c r="BT569" s="58">
        <f t="shared" si="2726"/>
        <v>0</v>
      </c>
      <c r="BU569" s="58">
        <f t="shared" si="2726"/>
        <v>0</v>
      </c>
      <c r="BV569" s="58">
        <f t="shared" si="2726"/>
        <v>1320</v>
      </c>
      <c r="BW569" s="58">
        <f t="shared" si="2726"/>
        <v>1320</v>
      </c>
      <c r="BX569" s="65"/>
      <c r="BY569" s="65"/>
      <c r="BZ569" s="65"/>
      <c r="CA569" s="65"/>
      <c r="CB569" s="65"/>
      <c r="CC569" s="65"/>
      <c r="CD569" s="65"/>
      <c r="CE569" s="65"/>
      <c r="CF569" s="65"/>
      <c r="CG569" s="65"/>
    </row>
    <row r="570" spans="1:85" ht="15.75" customHeight="1">
      <c r="A570" s="125" t="s">
        <v>873</v>
      </c>
      <c r="B570" s="115"/>
      <c r="C570" s="129" t="s">
        <v>256</v>
      </c>
      <c r="D570" s="404" t="s">
        <v>874</v>
      </c>
      <c r="E570" s="174"/>
      <c r="F570" s="405"/>
      <c r="G570" s="71">
        <f t="shared" ref="G570:G575" si="2727">E570-F570</f>
        <v>0</v>
      </c>
      <c r="H570" s="70"/>
      <c r="I570" s="72">
        <f t="shared" si="2631"/>
        <v>0</v>
      </c>
      <c r="J570" s="72">
        <f t="shared" si="2632"/>
        <v>0</v>
      </c>
      <c r="K570" s="94">
        <v>3500</v>
      </c>
      <c r="L570" s="401"/>
      <c r="M570" s="81"/>
      <c r="N570" s="107"/>
      <c r="O570" s="77">
        <f t="shared" ref="O570:Q570" si="2728">AA570+AD570+AG570+AJ570+AM570+AP570+AS570+AV570+AY570+BB570+BE570+BH570</f>
        <v>3500</v>
      </c>
      <c r="P570" s="77">
        <f t="shared" si="2728"/>
        <v>0</v>
      </c>
      <c r="Q570" s="77">
        <f t="shared" si="2728"/>
        <v>0</v>
      </c>
      <c r="R570" s="77">
        <f t="shared" ref="R570:T570" si="2729">IF(BK570=0,SUM(AA570+AD570+AG570+AJ570+AM570+AP570+AS570+AV570+AY570+BB570+BE570+BH570),BK570)</f>
        <v>3500</v>
      </c>
      <c r="S570" s="77">
        <f t="shared" si="2729"/>
        <v>0</v>
      </c>
      <c r="T570" s="77">
        <f t="shared" si="2729"/>
        <v>0</v>
      </c>
      <c r="U570" s="79">
        <f t="shared" ref="U570:U575" si="2730">K570-O570</f>
        <v>0</v>
      </c>
      <c r="V570" s="79">
        <f t="shared" ref="V570:V575" si="2731">L570-M570-S570</f>
        <v>0</v>
      </c>
      <c r="W570" s="79">
        <f t="shared" ref="W570:W575" si="2732">N570-Q570</f>
        <v>0</v>
      </c>
      <c r="X570" s="80">
        <f t="shared" ref="X570:Y570" si="2733">IF(O570&gt;0,O570/K570,0)</f>
        <v>1</v>
      </c>
      <c r="Y570" s="80">
        <f t="shared" si="2733"/>
        <v>0</v>
      </c>
      <c r="Z570" s="80">
        <f t="shared" si="2391"/>
        <v>0</v>
      </c>
      <c r="AA570" s="81"/>
      <c r="AB570" s="81"/>
      <c r="AC570" s="81"/>
      <c r="AD570" s="81"/>
      <c r="AE570" s="83"/>
      <c r="AF570" s="83"/>
      <c r="AG570" s="83"/>
      <c r="AH570" s="83"/>
      <c r="AI570" s="81"/>
      <c r="AJ570" s="81"/>
      <c r="AK570" s="81"/>
      <c r="AL570" s="81"/>
      <c r="AM570" s="81"/>
      <c r="AN570" s="81"/>
      <c r="AO570" s="81"/>
      <c r="AP570" s="81"/>
      <c r="AQ570" s="81"/>
      <c r="AR570" s="81"/>
      <c r="AS570" s="81"/>
      <c r="AT570" s="81"/>
      <c r="AU570" s="81"/>
      <c r="AV570" s="82">
        <v>3500</v>
      </c>
      <c r="AW570" s="81"/>
      <c r="AX570" s="81"/>
      <c r="AY570" s="81"/>
      <c r="AZ570" s="81"/>
      <c r="BA570" s="81"/>
      <c r="BB570" s="81"/>
      <c r="BC570" s="81"/>
      <c r="BD570" s="81"/>
      <c r="BE570" s="81"/>
      <c r="BF570" s="81"/>
      <c r="BG570" s="81"/>
      <c r="BH570" s="81"/>
      <c r="BI570" s="81"/>
      <c r="BJ570" s="81"/>
      <c r="BK570" s="82">
        <v>3500</v>
      </c>
      <c r="BL570" s="82">
        <v>0</v>
      </c>
      <c r="BM570" s="82">
        <v>0</v>
      </c>
      <c r="BN570" s="81">
        <f t="shared" ref="BN570:BN575" si="2734">IF(O570-BK570&gt;0,O570-BK570,0)</f>
        <v>0</v>
      </c>
      <c r="BO570" s="75">
        <f t="shared" ref="BO570:BO575" si="2735">IF(Q570-BM570&gt;0,Q570-BM570,0)</f>
        <v>0</v>
      </c>
      <c r="BP570" s="81">
        <f t="shared" ref="BP570:BP575" si="2736">IF(BN570+BO570&gt;0,BN570+BO570,0)</f>
        <v>0</v>
      </c>
      <c r="BQ570" s="81">
        <f t="shared" ref="BQ570:BQ575" si="2737">IF(U570=0,0,U570)</f>
        <v>0</v>
      </c>
      <c r="BR570" s="81">
        <f t="shared" ref="BR570:BR575" si="2738">IF(W570=0,0,W570)</f>
        <v>0</v>
      </c>
      <c r="BS570" s="81">
        <f t="shared" ref="BS570:BS575" si="2739">IF(BQ570+BR570&gt;0,BQ570+BR570,0)</f>
        <v>0</v>
      </c>
      <c r="BT570" s="81">
        <f t="shared" ref="BT570:BT575" si="2740">IF(V570&gt;0,V570,0)</f>
        <v>0</v>
      </c>
      <c r="BU570" s="81">
        <f t="shared" ref="BU570:BU575" si="2741">IF(BP570=0,0,BP570)</f>
        <v>0</v>
      </c>
      <c r="BV570" s="81">
        <f t="shared" ref="BV570:BV575" si="2742">IF(BS570=0,0,BS570)</f>
        <v>0</v>
      </c>
      <c r="BW570" s="81">
        <f t="shared" ref="BW570:BW575" si="2743">IF(BP570+BT570+BV570&gt;0,BP570+BT570+BV570,0)</f>
        <v>0</v>
      </c>
      <c r="BX570" s="1"/>
      <c r="BY570" s="1"/>
      <c r="BZ570" s="1"/>
      <c r="CA570" s="1"/>
      <c r="CB570" s="1"/>
      <c r="CC570" s="1"/>
      <c r="CD570" s="1"/>
      <c r="CE570" s="1"/>
      <c r="CF570" s="1"/>
      <c r="CG570" s="1"/>
    </row>
    <row r="571" spans="1:85" ht="15.75" customHeight="1">
      <c r="A571" s="125" t="s">
        <v>875</v>
      </c>
      <c r="B571" s="115"/>
      <c r="C571" s="129" t="s">
        <v>256</v>
      </c>
      <c r="D571" s="404" t="s">
        <v>876</v>
      </c>
      <c r="E571" s="174"/>
      <c r="F571" s="405"/>
      <c r="G571" s="71">
        <f t="shared" si="2727"/>
        <v>0</v>
      </c>
      <c r="H571" s="70"/>
      <c r="I571" s="72">
        <f t="shared" si="2631"/>
        <v>0</v>
      </c>
      <c r="J571" s="72">
        <f t="shared" si="2632"/>
        <v>0</v>
      </c>
      <c r="K571" s="94">
        <f>31680-3643.34-90-7426.66</f>
        <v>20520</v>
      </c>
      <c r="L571" s="401"/>
      <c r="M571" s="81"/>
      <c r="N571" s="107"/>
      <c r="O571" s="77">
        <f t="shared" ref="O571:Q571" si="2744">AA571+AD571+AG571+AJ571+AM571+AP571+AS571+AV571+AY571+BB571+BE571+BH571</f>
        <v>19200</v>
      </c>
      <c r="P571" s="77">
        <f t="shared" si="2744"/>
        <v>0</v>
      </c>
      <c r="Q571" s="77">
        <f t="shared" si="2744"/>
        <v>0</v>
      </c>
      <c r="R571" s="77">
        <f t="shared" ref="R571:T571" si="2745">IF(BK571=0,SUM(AA571+AD571+AG571+AJ571+AM571+AP571+AS571+AV571+AY571+BB571+BE571+BH571),BK571)</f>
        <v>19200</v>
      </c>
      <c r="S571" s="77">
        <f t="shared" si="2745"/>
        <v>0</v>
      </c>
      <c r="T571" s="77">
        <f t="shared" si="2745"/>
        <v>0</v>
      </c>
      <c r="U571" s="78">
        <f t="shared" si="2730"/>
        <v>1320</v>
      </c>
      <c r="V571" s="79">
        <f t="shared" si="2731"/>
        <v>0</v>
      </c>
      <c r="W571" s="79">
        <f t="shared" si="2732"/>
        <v>0</v>
      </c>
      <c r="X571" s="80">
        <f t="shared" ref="X571:Y571" si="2746">IF(O571&gt;0,O571/K571,0)</f>
        <v>0.93567251461988299</v>
      </c>
      <c r="Y571" s="80">
        <f t="shared" si="2746"/>
        <v>0</v>
      </c>
      <c r="Z571" s="80">
        <f t="shared" si="2391"/>
        <v>0</v>
      </c>
      <c r="AA571" s="81"/>
      <c r="AB571" s="81"/>
      <c r="AC571" s="81"/>
      <c r="AD571" s="81"/>
      <c r="AE571" s="83"/>
      <c r="AF571" s="83"/>
      <c r="AG571" s="83"/>
      <c r="AH571" s="83"/>
      <c r="AI571" s="81"/>
      <c r="AJ571" s="81"/>
      <c r="AK571" s="81"/>
      <c r="AL571" s="81"/>
      <c r="AM571" s="81"/>
      <c r="AN571" s="81"/>
      <c r="AO571" s="81"/>
      <c r="AP571" s="81"/>
      <c r="AQ571" s="81"/>
      <c r="AR571" s="81"/>
      <c r="AS571" s="81"/>
      <c r="AT571" s="81"/>
      <c r="AU571" s="81"/>
      <c r="AV571" s="81"/>
      <c r="AW571" s="81"/>
      <c r="AX571" s="81"/>
      <c r="AY571" s="81"/>
      <c r="AZ571" s="81"/>
      <c r="BA571" s="81"/>
      <c r="BB571" s="82">
        <v>6660</v>
      </c>
      <c r="BC571" s="81"/>
      <c r="BD571" s="81"/>
      <c r="BE571" s="81">
        <f>5940</f>
        <v>5940</v>
      </c>
      <c r="BF571" s="81"/>
      <c r="BG571" s="81"/>
      <c r="BH571" s="81">
        <f>6600</f>
        <v>6600</v>
      </c>
      <c r="BI571" s="81"/>
      <c r="BJ571" s="81"/>
      <c r="BK571" s="82">
        <v>19200</v>
      </c>
      <c r="BL571" s="82">
        <v>0</v>
      </c>
      <c r="BM571" s="82">
        <v>0</v>
      </c>
      <c r="BN571" s="81">
        <f t="shared" si="2734"/>
        <v>0</v>
      </c>
      <c r="BO571" s="75">
        <f t="shared" si="2735"/>
        <v>0</v>
      </c>
      <c r="BP571" s="81">
        <f t="shared" si="2736"/>
        <v>0</v>
      </c>
      <c r="BQ571" s="81">
        <f t="shared" si="2737"/>
        <v>1320</v>
      </c>
      <c r="BR571" s="81">
        <f t="shared" si="2738"/>
        <v>0</v>
      </c>
      <c r="BS571" s="81">
        <f t="shared" si="2739"/>
        <v>1320</v>
      </c>
      <c r="BT571" s="81">
        <f t="shared" si="2740"/>
        <v>0</v>
      </c>
      <c r="BU571" s="81">
        <f t="shared" si="2741"/>
        <v>0</v>
      </c>
      <c r="BV571" s="81">
        <f t="shared" si="2742"/>
        <v>1320</v>
      </c>
      <c r="BW571" s="81">
        <f t="shared" si="2743"/>
        <v>1320</v>
      </c>
      <c r="BX571" s="1"/>
      <c r="BY571" s="1"/>
      <c r="BZ571" s="1"/>
      <c r="CA571" s="1"/>
      <c r="CB571" s="1"/>
      <c r="CC571" s="1"/>
      <c r="CD571" s="1"/>
      <c r="CE571" s="1"/>
      <c r="CF571" s="1"/>
      <c r="CG571" s="1"/>
    </row>
    <row r="572" spans="1:85" ht="15.75" customHeight="1">
      <c r="A572" s="84"/>
      <c r="B572" s="115"/>
      <c r="C572" s="86" t="s">
        <v>292</v>
      </c>
      <c r="D572" s="149" t="s">
        <v>877</v>
      </c>
      <c r="E572" s="70">
        <v>100000</v>
      </c>
      <c r="F572" s="93">
        <v>100000</v>
      </c>
      <c r="G572" s="71">
        <f t="shared" si="2727"/>
        <v>0</v>
      </c>
      <c r="H572" s="70"/>
      <c r="I572" s="72">
        <f t="shared" si="2631"/>
        <v>0</v>
      </c>
      <c r="J572" s="72">
        <f t="shared" si="2632"/>
        <v>0</v>
      </c>
      <c r="K572" s="76"/>
      <c r="L572" s="401"/>
      <c r="M572" s="81"/>
      <c r="N572" s="107"/>
      <c r="O572" s="77">
        <f t="shared" ref="O572:Q572" si="2747">AA572+AD572+AG572+AJ572+AM572+AP572+AS572+AV572+AY572+BB572+BE572+BH572</f>
        <v>0</v>
      </c>
      <c r="P572" s="77">
        <f t="shared" si="2747"/>
        <v>0</v>
      </c>
      <c r="Q572" s="77">
        <f t="shared" si="2747"/>
        <v>0</v>
      </c>
      <c r="R572" s="77">
        <f t="shared" ref="R572:T572" si="2748">IF(BK572=0,SUM(AA572+AD572+AG572+AJ572+AM572+AP572+AS572+AV572+AY572+BB572+BE572+BH572),BK572)</f>
        <v>0</v>
      </c>
      <c r="S572" s="77">
        <f t="shared" si="2748"/>
        <v>0</v>
      </c>
      <c r="T572" s="77">
        <f t="shared" si="2748"/>
        <v>0</v>
      </c>
      <c r="U572" s="79">
        <f t="shared" si="2730"/>
        <v>0</v>
      </c>
      <c r="V572" s="79">
        <f t="shared" si="2731"/>
        <v>0</v>
      </c>
      <c r="W572" s="79">
        <f t="shared" si="2732"/>
        <v>0</v>
      </c>
      <c r="X572" s="80">
        <f t="shared" ref="X572:Y572" si="2749">IF(O572&gt;0,O572/K572,0)</f>
        <v>0</v>
      </c>
      <c r="Y572" s="80">
        <f t="shared" si="2749"/>
        <v>0</v>
      </c>
      <c r="Z572" s="80">
        <f t="shared" si="2391"/>
        <v>0</v>
      </c>
      <c r="AA572" s="81"/>
      <c r="AB572" s="81"/>
      <c r="AC572" s="81"/>
      <c r="AD572" s="81"/>
      <c r="AE572" s="83"/>
      <c r="AF572" s="83"/>
      <c r="AG572" s="83"/>
      <c r="AH572" s="83"/>
      <c r="AI572" s="81"/>
      <c r="AJ572" s="81"/>
      <c r="AK572" s="81"/>
      <c r="AL572" s="81"/>
      <c r="AM572" s="81"/>
      <c r="AN572" s="81"/>
      <c r="AO572" s="81"/>
      <c r="AP572" s="81"/>
      <c r="AQ572" s="81"/>
      <c r="AR572" s="81"/>
      <c r="AS572" s="81"/>
      <c r="AT572" s="81"/>
      <c r="AU572" s="81"/>
      <c r="AV572" s="81"/>
      <c r="AW572" s="81"/>
      <c r="AX572" s="81"/>
      <c r="AY572" s="81"/>
      <c r="AZ572" s="81"/>
      <c r="BA572" s="81"/>
      <c r="BB572" s="81"/>
      <c r="BC572" s="81"/>
      <c r="BD572" s="81"/>
      <c r="BE572" s="81"/>
      <c r="BF572" s="81"/>
      <c r="BG572" s="81"/>
      <c r="BH572" s="81"/>
      <c r="BI572" s="81"/>
      <c r="BJ572" s="81"/>
      <c r="BK572" s="82">
        <v>0</v>
      </c>
      <c r="BL572" s="82">
        <v>0</v>
      </c>
      <c r="BM572" s="82">
        <v>0</v>
      </c>
      <c r="BN572" s="81">
        <f t="shared" si="2734"/>
        <v>0</v>
      </c>
      <c r="BO572" s="75">
        <f t="shared" si="2735"/>
        <v>0</v>
      </c>
      <c r="BP572" s="81">
        <f t="shared" si="2736"/>
        <v>0</v>
      </c>
      <c r="BQ572" s="81">
        <f t="shared" si="2737"/>
        <v>0</v>
      </c>
      <c r="BR572" s="81">
        <f t="shared" si="2738"/>
        <v>0</v>
      </c>
      <c r="BS572" s="81">
        <f t="shared" si="2739"/>
        <v>0</v>
      </c>
      <c r="BT572" s="81">
        <f t="shared" si="2740"/>
        <v>0</v>
      </c>
      <c r="BU572" s="81">
        <f t="shared" si="2741"/>
        <v>0</v>
      </c>
      <c r="BV572" s="81">
        <f t="shared" si="2742"/>
        <v>0</v>
      </c>
      <c r="BW572" s="81">
        <f t="shared" si="2743"/>
        <v>0</v>
      </c>
      <c r="BX572" s="1"/>
      <c r="BY572" s="1"/>
      <c r="BZ572" s="1"/>
      <c r="CA572" s="1"/>
      <c r="CB572" s="1"/>
      <c r="CC572" s="1"/>
      <c r="CD572" s="1"/>
      <c r="CE572" s="1"/>
      <c r="CF572" s="1"/>
      <c r="CG572" s="1"/>
    </row>
    <row r="573" spans="1:85" ht="15.75" customHeight="1">
      <c r="A573" s="84"/>
      <c r="B573" s="115"/>
      <c r="C573" s="86" t="s">
        <v>418</v>
      </c>
      <c r="D573" s="167" t="s">
        <v>878</v>
      </c>
      <c r="E573" s="163">
        <v>10000</v>
      </c>
      <c r="F573" s="164"/>
      <c r="G573" s="71">
        <f t="shared" si="2727"/>
        <v>10000</v>
      </c>
      <c r="H573" s="70"/>
      <c r="I573" s="72">
        <f t="shared" si="2631"/>
        <v>0</v>
      </c>
      <c r="J573" s="72">
        <f t="shared" si="2632"/>
        <v>0</v>
      </c>
      <c r="K573" s="76"/>
      <c r="L573" s="401"/>
      <c r="M573" s="81"/>
      <c r="N573" s="107"/>
      <c r="O573" s="77">
        <f t="shared" ref="O573:Q573" si="2750">AA573+AD573+AG573+AJ573+AM573+AP573+AS573+AV573+AY573+BB573+BE573+BH573</f>
        <v>0</v>
      </c>
      <c r="P573" s="77">
        <f t="shared" si="2750"/>
        <v>0</v>
      </c>
      <c r="Q573" s="77">
        <f t="shared" si="2750"/>
        <v>0</v>
      </c>
      <c r="R573" s="77">
        <f t="shared" ref="R573:T573" si="2751">IF(BK573=0,SUM(AA573+AD573+AG573+AJ573+AM573+AP573+AS573+AV573+AY573+BB573+BE573+BH573),BK573)</f>
        <v>0</v>
      </c>
      <c r="S573" s="77">
        <f t="shared" si="2751"/>
        <v>0</v>
      </c>
      <c r="T573" s="77">
        <f t="shared" si="2751"/>
        <v>0</v>
      </c>
      <c r="U573" s="79">
        <f t="shared" si="2730"/>
        <v>0</v>
      </c>
      <c r="V573" s="79">
        <f t="shared" si="2731"/>
        <v>0</v>
      </c>
      <c r="W573" s="79">
        <f t="shared" si="2732"/>
        <v>0</v>
      </c>
      <c r="X573" s="80">
        <f t="shared" ref="X573:Y573" si="2752">IF(O573&gt;0,O573/K573,0)</f>
        <v>0</v>
      </c>
      <c r="Y573" s="80">
        <f t="shared" si="2752"/>
        <v>0</v>
      </c>
      <c r="Z573" s="80">
        <f t="shared" si="2391"/>
        <v>0</v>
      </c>
      <c r="AA573" s="81"/>
      <c r="AB573" s="81"/>
      <c r="AC573" s="81"/>
      <c r="AD573" s="81"/>
      <c r="AE573" s="83"/>
      <c r="AF573" s="83"/>
      <c r="AG573" s="83"/>
      <c r="AH573" s="83"/>
      <c r="AI573" s="81"/>
      <c r="AJ573" s="81"/>
      <c r="AK573" s="81"/>
      <c r="AL573" s="81"/>
      <c r="AM573" s="81"/>
      <c r="AN573" s="81"/>
      <c r="AO573" s="81"/>
      <c r="AP573" s="81"/>
      <c r="AQ573" s="81"/>
      <c r="AR573" s="81"/>
      <c r="AS573" s="81"/>
      <c r="AT573" s="81"/>
      <c r="AU573" s="81"/>
      <c r="AV573" s="81"/>
      <c r="AW573" s="81"/>
      <c r="AX573" s="81"/>
      <c r="AY573" s="81"/>
      <c r="AZ573" s="81"/>
      <c r="BA573" s="81"/>
      <c r="BB573" s="81"/>
      <c r="BC573" s="81"/>
      <c r="BD573" s="81"/>
      <c r="BE573" s="81"/>
      <c r="BF573" s="81"/>
      <c r="BG573" s="81"/>
      <c r="BH573" s="81"/>
      <c r="BI573" s="81"/>
      <c r="BJ573" s="81"/>
      <c r="BK573" s="82">
        <v>0</v>
      </c>
      <c r="BL573" s="82">
        <v>0</v>
      </c>
      <c r="BM573" s="82">
        <v>0</v>
      </c>
      <c r="BN573" s="81">
        <f t="shared" si="2734"/>
        <v>0</v>
      </c>
      <c r="BO573" s="75">
        <f t="shared" si="2735"/>
        <v>0</v>
      </c>
      <c r="BP573" s="81">
        <f t="shared" si="2736"/>
        <v>0</v>
      </c>
      <c r="BQ573" s="81">
        <f t="shared" si="2737"/>
        <v>0</v>
      </c>
      <c r="BR573" s="81">
        <f t="shared" si="2738"/>
        <v>0</v>
      </c>
      <c r="BS573" s="81">
        <f t="shared" si="2739"/>
        <v>0</v>
      </c>
      <c r="BT573" s="81">
        <f t="shared" si="2740"/>
        <v>0</v>
      </c>
      <c r="BU573" s="81">
        <f t="shared" si="2741"/>
        <v>0</v>
      </c>
      <c r="BV573" s="81">
        <f t="shared" si="2742"/>
        <v>0</v>
      </c>
      <c r="BW573" s="81">
        <f t="shared" si="2743"/>
        <v>0</v>
      </c>
      <c r="BX573" s="1"/>
      <c r="BY573" s="1"/>
      <c r="BZ573" s="1"/>
      <c r="CA573" s="1"/>
      <c r="CB573" s="1"/>
      <c r="CC573" s="1"/>
      <c r="CD573" s="1"/>
      <c r="CE573" s="1"/>
      <c r="CF573" s="1"/>
      <c r="CG573" s="1"/>
    </row>
    <row r="574" spans="1:85" ht="15.75" customHeight="1">
      <c r="A574" s="84"/>
      <c r="B574" s="115"/>
      <c r="C574" s="86" t="s">
        <v>553</v>
      </c>
      <c r="D574" s="167" t="s">
        <v>879</v>
      </c>
      <c r="E574" s="163">
        <v>10000</v>
      </c>
      <c r="F574" s="164"/>
      <c r="G574" s="71">
        <f t="shared" si="2727"/>
        <v>10000</v>
      </c>
      <c r="H574" s="70"/>
      <c r="I574" s="72">
        <f t="shared" si="2631"/>
        <v>0</v>
      </c>
      <c r="J574" s="72">
        <f t="shared" si="2632"/>
        <v>0</v>
      </c>
      <c r="K574" s="76"/>
      <c r="L574" s="401"/>
      <c r="M574" s="81"/>
      <c r="N574" s="107"/>
      <c r="O574" s="77">
        <f t="shared" ref="O574:Q574" si="2753">AA574+AD574+AG574+AJ574+AM574+AP574+AS574+AV574+AY574+BB574+BE574+BH574</f>
        <v>0</v>
      </c>
      <c r="P574" s="77">
        <f t="shared" si="2753"/>
        <v>0</v>
      </c>
      <c r="Q574" s="77">
        <f t="shared" si="2753"/>
        <v>0</v>
      </c>
      <c r="R574" s="77">
        <f t="shared" ref="R574:T574" si="2754">IF(BK574=0,SUM(AA574+AD574+AG574+AJ574+AM574+AP574+AS574+AV574+AY574+BB574+BE574+BH574),BK574)</f>
        <v>0</v>
      </c>
      <c r="S574" s="77">
        <f t="shared" si="2754"/>
        <v>0</v>
      </c>
      <c r="T574" s="77">
        <f t="shared" si="2754"/>
        <v>0</v>
      </c>
      <c r="U574" s="79">
        <f t="shared" si="2730"/>
        <v>0</v>
      </c>
      <c r="V574" s="79">
        <f t="shared" si="2731"/>
        <v>0</v>
      </c>
      <c r="W574" s="79">
        <f t="shared" si="2732"/>
        <v>0</v>
      </c>
      <c r="X574" s="80">
        <f t="shared" ref="X574:Y574" si="2755">IF(O574&gt;0,O574/K574,0)</f>
        <v>0</v>
      </c>
      <c r="Y574" s="80">
        <f t="shared" si="2755"/>
        <v>0</v>
      </c>
      <c r="Z574" s="80">
        <f t="shared" si="2391"/>
        <v>0</v>
      </c>
      <c r="AA574" s="81"/>
      <c r="AB574" s="81"/>
      <c r="AC574" s="81"/>
      <c r="AD574" s="81"/>
      <c r="AE574" s="83"/>
      <c r="AF574" s="83"/>
      <c r="AG574" s="83"/>
      <c r="AH574" s="83"/>
      <c r="AI574" s="81"/>
      <c r="AJ574" s="81"/>
      <c r="AK574" s="81"/>
      <c r="AL574" s="81"/>
      <c r="AM574" s="81"/>
      <c r="AN574" s="81"/>
      <c r="AO574" s="81"/>
      <c r="AP574" s="81"/>
      <c r="AQ574" s="81"/>
      <c r="AR574" s="81"/>
      <c r="AS574" s="81"/>
      <c r="AT574" s="81"/>
      <c r="AU574" s="81"/>
      <c r="AV574" s="81"/>
      <c r="AW574" s="81"/>
      <c r="AX574" s="81"/>
      <c r="AY574" s="81"/>
      <c r="AZ574" s="81"/>
      <c r="BA574" s="81"/>
      <c r="BB574" s="81"/>
      <c r="BC574" s="81"/>
      <c r="BD574" s="81"/>
      <c r="BE574" s="81"/>
      <c r="BF574" s="81"/>
      <c r="BG574" s="81"/>
      <c r="BH574" s="81"/>
      <c r="BI574" s="81"/>
      <c r="BJ574" s="81"/>
      <c r="BK574" s="82">
        <v>0</v>
      </c>
      <c r="BL574" s="82">
        <v>0</v>
      </c>
      <c r="BM574" s="82">
        <v>0</v>
      </c>
      <c r="BN574" s="81">
        <f t="shared" si="2734"/>
        <v>0</v>
      </c>
      <c r="BO574" s="75">
        <f t="shared" si="2735"/>
        <v>0</v>
      </c>
      <c r="BP574" s="81">
        <f t="shared" si="2736"/>
        <v>0</v>
      </c>
      <c r="BQ574" s="81">
        <f t="shared" si="2737"/>
        <v>0</v>
      </c>
      <c r="BR574" s="81">
        <f t="shared" si="2738"/>
        <v>0</v>
      </c>
      <c r="BS574" s="81">
        <f t="shared" si="2739"/>
        <v>0</v>
      </c>
      <c r="BT574" s="81">
        <f t="shared" si="2740"/>
        <v>0</v>
      </c>
      <c r="BU574" s="81">
        <f t="shared" si="2741"/>
        <v>0</v>
      </c>
      <c r="BV574" s="81">
        <f t="shared" si="2742"/>
        <v>0</v>
      </c>
      <c r="BW574" s="81">
        <f t="shared" si="2743"/>
        <v>0</v>
      </c>
      <c r="BX574" s="1"/>
      <c r="BY574" s="1"/>
      <c r="BZ574" s="1"/>
      <c r="CA574" s="1"/>
      <c r="CB574" s="1"/>
      <c r="CC574" s="1"/>
      <c r="CD574" s="1"/>
      <c r="CE574" s="1"/>
      <c r="CF574" s="1"/>
      <c r="CG574" s="1"/>
    </row>
    <row r="575" spans="1:85" ht="15.75" customHeight="1">
      <c r="A575" s="108"/>
      <c r="B575" s="90"/>
      <c r="C575" s="91" t="s">
        <v>304</v>
      </c>
      <c r="D575" s="92" t="s">
        <v>305</v>
      </c>
      <c r="E575" s="70">
        <v>10000</v>
      </c>
      <c r="F575" s="71"/>
      <c r="G575" s="71">
        <f t="shared" si="2727"/>
        <v>10000</v>
      </c>
      <c r="H575" s="70"/>
      <c r="I575" s="72">
        <f t="shared" si="2631"/>
        <v>0</v>
      </c>
      <c r="J575" s="72">
        <f t="shared" si="2632"/>
        <v>0</v>
      </c>
      <c r="K575" s="76"/>
      <c r="L575" s="401"/>
      <c r="M575" s="81"/>
      <c r="N575" s="107"/>
      <c r="O575" s="77">
        <f t="shared" ref="O575:Q575" si="2756">AA575+AD575+AG575+AJ575+AM575+AP575+AS575+AV575+AY575+BB575+BE575+BH575</f>
        <v>0</v>
      </c>
      <c r="P575" s="77">
        <f t="shared" si="2756"/>
        <v>0</v>
      </c>
      <c r="Q575" s="77">
        <f t="shared" si="2756"/>
        <v>0</v>
      </c>
      <c r="R575" s="77">
        <f t="shared" ref="R575:T575" si="2757">IF(BK575=0,SUM(AA575+AD575+AG575+AJ575+AM575+AP575+AS575+AV575+AY575+BB575+BE575+BH575),BK575)</f>
        <v>0</v>
      </c>
      <c r="S575" s="77">
        <f t="shared" si="2757"/>
        <v>0</v>
      </c>
      <c r="T575" s="77">
        <f t="shared" si="2757"/>
        <v>0</v>
      </c>
      <c r="U575" s="79">
        <f t="shared" si="2730"/>
        <v>0</v>
      </c>
      <c r="V575" s="79">
        <f t="shared" si="2731"/>
        <v>0</v>
      </c>
      <c r="W575" s="79">
        <f t="shared" si="2732"/>
        <v>0</v>
      </c>
      <c r="X575" s="80">
        <f t="shared" ref="X575:Y575" si="2758">IF(O575&gt;0,O575/K575,0)</f>
        <v>0</v>
      </c>
      <c r="Y575" s="80">
        <f t="shared" si="2758"/>
        <v>0</v>
      </c>
      <c r="Z575" s="80">
        <f t="shared" si="2391"/>
        <v>0</v>
      </c>
      <c r="AA575" s="81"/>
      <c r="AB575" s="81"/>
      <c r="AC575" s="81"/>
      <c r="AD575" s="81"/>
      <c r="AE575" s="83"/>
      <c r="AF575" s="83"/>
      <c r="AG575" s="83"/>
      <c r="AH575" s="83"/>
      <c r="AI575" s="81"/>
      <c r="AJ575" s="81"/>
      <c r="AK575" s="81"/>
      <c r="AL575" s="81"/>
      <c r="AM575" s="81"/>
      <c r="AN575" s="81"/>
      <c r="AO575" s="81"/>
      <c r="AP575" s="81"/>
      <c r="AQ575" s="81"/>
      <c r="AR575" s="81"/>
      <c r="AS575" s="81"/>
      <c r="AT575" s="81"/>
      <c r="AU575" s="81"/>
      <c r="AV575" s="81"/>
      <c r="AW575" s="81"/>
      <c r="AX575" s="81"/>
      <c r="AY575" s="81"/>
      <c r="AZ575" s="81"/>
      <c r="BA575" s="81"/>
      <c r="BB575" s="81"/>
      <c r="BC575" s="81"/>
      <c r="BD575" s="81"/>
      <c r="BE575" s="81"/>
      <c r="BF575" s="81"/>
      <c r="BG575" s="81"/>
      <c r="BH575" s="81"/>
      <c r="BI575" s="81"/>
      <c r="BJ575" s="81"/>
      <c r="BK575" s="82">
        <v>0</v>
      </c>
      <c r="BL575" s="82">
        <v>0</v>
      </c>
      <c r="BM575" s="82">
        <v>0</v>
      </c>
      <c r="BN575" s="81">
        <f t="shared" si="2734"/>
        <v>0</v>
      </c>
      <c r="BO575" s="75">
        <f t="shared" si="2735"/>
        <v>0</v>
      </c>
      <c r="BP575" s="81">
        <f t="shared" si="2736"/>
        <v>0</v>
      </c>
      <c r="BQ575" s="81">
        <f t="shared" si="2737"/>
        <v>0</v>
      </c>
      <c r="BR575" s="81">
        <f t="shared" si="2738"/>
        <v>0</v>
      </c>
      <c r="BS575" s="81">
        <f t="shared" si="2739"/>
        <v>0</v>
      </c>
      <c r="BT575" s="81">
        <f t="shared" si="2740"/>
        <v>0</v>
      </c>
      <c r="BU575" s="81">
        <f t="shared" si="2741"/>
        <v>0</v>
      </c>
      <c r="BV575" s="81">
        <f t="shared" si="2742"/>
        <v>0</v>
      </c>
      <c r="BW575" s="81">
        <f t="shared" si="2743"/>
        <v>0</v>
      </c>
      <c r="BX575" s="1"/>
      <c r="BY575" s="1"/>
      <c r="BZ575" s="1"/>
      <c r="CA575" s="1"/>
      <c r="CB575" s="1"/>
      <c r="CC575" s="1"/>
      <c r="CD575" s="1"/>
      <c r="CE575" s="1"/>
      <c r="CF575" s="1"/>
      <c r="CG575" s="1"/>
    </row>
    <row r="576" spans="1:85" ht="15.75" customHeight="1">
      <c r="A576" s="323"/>
      <c r="B576" s="101"/>
      <c r="C576" s="102"/>
      <c r="D576" s="103" t="s">
        <v>880</v>
      </c>
      <c r="E576" s="104">
        <f t="shared" ref="E576:H576" si="2759">E577+E579+E581+E642+E648+E655+E657</f>
        <v>961100</v>
      </c>
      <c r="F576" s="104">
        <f t="shared" si="2759"/>
        <v>0</v>
      </c>
      <c r="G576" s="104">
        <f t="shared" si="2759"/>
        <v>961100</v>
      </c>
      <c r="H576" s="104">
        <f t="shared" si="2759"/>
        <v>0</v>
      </c>
      <c r="I576" s="105">
        <f t="shared" si="2631"/>
        <v>1.1369790136302156</v>
      </c>
      <c r="J576" s="105">
        <f t="shared" si="2632"/>
        <v>1.0175208927270838</v>
      </c>
      <c r="K576" s="104">
        <f t="shared" ref="K576:W576" si="2760">K577+K579+K581+K642+K648+K655+K657</f>
        <v>1092750.5300000003</v>
      </c>
      <c r="L576" s="104">
        <f t="shared" si="2760"/>
        <v>184840.27999999997</v>
      </c>
      <c r="M576" s="104">
        <f t="shared" si="2760"/>
        <v>1096.6400000000001</v>
      </c>
      <c r="N576" s="104">
        <f t="shared" si="2760"/>
        <v>0</v>
      </c>
      <c r="O576" s="104">
        <f t="shared" si="2760"/>
        <v>977939.33000000019</v>
      </c>
      <c r="P576" s="104">
        <f t="shared" si="2760"/>
        <v>167986.24</v>
      </c>
      <c r="Q576" s="104">
        <f t="shared" si="2760"/>
        <v>0</v>
      </c>
      <c r="R576" s="104">
        <f t="shared" si="2760"/>
        <v>972725.01000000013</v>
      </c>
      <c r="S576" s="104">
        <f t="shared" si="2760"/>
        <v>167986.24</v>
      </c>
      <c r="T576" s="104">
        <f t="shared" si="2760"/>
        <v>0</v>
      </c>
      <c r="U576" s="104">
        <f t="shared" si="2760"/>
        <v>114811.20000000001</v>
      </c>
      <c r="V576" s="104">
        <f t="shared" si="2760"/>
        <v>15757.4</v>
      </c>
      <c r="W576" s="104">
        <f t="shared" si="2760"/>
        <v>0</v>
      </c>
      <c r="X576" s="106">
        <f t="shared" ref="X576:Y576" si="2761">IF(O576&gt;0,O576/K576,0)</f>
        <v>0.89493375034098588</v>
      </c>
      <c r="Y576" s="106">
        <f t="shared" si="2761"/>
        <v>0.9088183592883543</v>
      </c>
      <c r="Z576" s="106">
        <f t="shared" si="2391"/>
        <v>0</v>
      </c>
      <c r="AA576" s="104">
        <f t="shared" ref="AA576:BW576" si="2762">AA577+AA579+AA581+AA642+AA648+AA655+AA657</f>
        <v>0</v>
      </c>
      <c r="AB576" s="104">
        <f t="shared" si="2762"/>
        <v>96787.5</v>
      </c>
      <c r="AC576" s="104">
        <f t="shared" si="2762"/>
        <v>0</v>
      </c>
      <c r="AD576" s="104">
        <f t="shared" si="2762"/>
        <v>11279.15</v>
      </c>
      <c r="AE576" s="104">
        <f t="shared" si="2762"/>
        <v>10703.24</v>
      </c>
      <c r="AF576" s="104">
        <f t="shared" si="2762"/>
        <v>0</v>
      </c>
      <c r="AG576" s="104">
        <f t="shared" si="2762"/>
        <v>126733.02</v>
      </c>
      <c r="AH576" s="104">
        <f t="shared" si="2762"/>
        <v>39224</v>
      </c>
      <c r="AI576" s="104">
        <f t="shared" si="2762"/>
        <v>0</v>
      </c>
      <c r="AJ576" s="104">
        <f t="shared" si="2762"/>
        <v>55674.000000000007</v>
      </c>
      <c r="AK576" s="104">
        <f t="shared" si="2762"/>
        <v>0</v>
      </c>
      <c r="AL576" s="104">
        <f t="shared" si="2762"/>
        <v>0</v>
      </c>
      <c r="AM576" s="104">
        <f t="shared" si="2762"/>
        <v>99888.810000000012</v>
      </c>
      <c r="AN576" s="104">
        <f t="shared" si="2762"/>
        <v>115</v>
      </c>
      <c r="AO576" s="104">
        <f t="shared" si="2762"/>
        <v>0</v>
      </c>
      <c r="AP576" s="104">
        <f t="shared" si="2762"/>
        <v>121798.98000000001</v>
      </c>
      <c r="AQ576" s="104">
        <f t="shared" si="2762"/>
        <v>1431.5</v>
      </c>
      <c r="AR576" s="104">
        <f t="shared" si="2762"/>
        <v>0</v>
      </c>
      <c r="AS576" s="104">
        <f t="shared" si="2762"/>
        <v>93921.34</v>
      </c>
      <c r="AT576" s="104">
        <f t="shared" si="2762"/>
        <v>14952.5</v>
      </c>
      <c r="AU576" s="104">
        <f t="shared" si="2762"/>
        <v>0</v>
      </c>
      <c r="AV576" s="104">
        <f t="shared" si="2762"/>
        <v>142205.19</v>
      </c>
      <c r="AW576" s="104">
        <f t="shared" si="2762"/>
        <v>4772.5</v>
      </c>
      <c r="AX576" s="104">
        <f t="shared" si="2762"/>
        <v>0</v>
      </c>
      <c r="AY576" s="104">
        <f t="shared" si="2762"/>
        <v>79437.91</v>
      </c>
      <c r="AZ576" s="104">
        <f t="shared" si="2762"/>
        <v>0</v>
      </c>
      <c r="BA576" s="104">
        <f t="shared" si="2762"/>
        <v>0</v>
      </c>
      <c r="BB576" s="104">
        <f t="shared" si="2762"/>
        <v>107480.98999999999</v>
      </c>
      <c r="BC576" s="104">
        <f t="shared" si="2762"/>
        <v>0</v>
      </c>
      <c r="BD576" s="104">
        <f t="shared" si="2762"/>
        <v>0</v>
      </c>
      <c r="BE576" s="104">
        <f t="shared" si="2762"/>
        <v>72561.259999999995</v>
      </c>
      <c r="BF576" s="104">
        <f t="shared" si="2762"/>
        <v>0</v>
      </c>
      <c r="BG576" s="104">
        <f t="shared" si="2762"/>
        <v>0</v>
      </c>
      <c r="BH576" s="104">
        <f t="shared" si="2762"/>
        <v>66958.679999999993</v>
      </c>
      <c r="BI576" s="104">
        <f t="shared" si="2762"/>
        <v>0</v>
      </c>
      <c r="BJ576" s="104">
        <f t="shared" si="2762"/>
        <v>0</v>
      </c>
      <c r="BK576" s="104">
        <f t="shared" si="2762"/>
        <v>972725.01000000013</v>
      </c>
      <c r="BL576" s="104">
        <f t="shared" si="2762"/>
        <v>167986.24</v>
      </c>
      <c r="BM576" s="104">
        <f t="shared" si="2762"/>
        <v>0</v>
      </c>
      <c r="BN576" s="104">
        <f t="shared" si="2762"/>
        <v>5214.3200000000215</v>
      </c>
      <c r="BO576" s="104">
        <f t="shared" si="2762"/>
        <v>0</v>
      </c>
      <c r="BP576" s="104">
        <f t="shared" si="2762"/>
        <v>5214.3200000000215</v>
      </c>
      <c r="BQ576" s="104">
        <f t="shared" si="2762"/>
        <v>114811.20000000001</v>
      </c>
      <c r="BR576" s="104">
        <f t="shared" si="2762"/>
        <v>0</v>
      </c>
      <c r="BS576" s="104">
        <f t="shared" si="2762"/>
        <v>114811.20000000001</v>
      </c>
      <c r="BT576" s="104">
        <f t="shared" si="2762"/>
        <v>15757.4</v>
      </c>
      <c r="BU576" s="104">
        <f t="shared" si="2762"/>
        <v>5214.3200000000215</v>
      </c>
      <c r="BV576" s="104">
        <f t="shared" si="2762"/>
        <v>114811.20000000001</v>
      </c>
      <c r="BW576" s="104">
        <f t="shared" si="2762"/>
        <v>135782.92000000001</v>
      </c>
      <c r="BX576" s="1"/>
      <c r="BY576" s="1"/>
      <c r="BZ576" s="1"/>
      <c r="CA576" s="1"/>
      <c r="CB576" s="1"/>
      <c r="CC576" s="1"/>
      <c r="CD576" s="1"/>
      <c r="CE576" s="1"/>
      <c r="CF576" s="1"/>
      <c r="CG576" s="1"/>
    </row>
    <row r="577" spans="1:85" ht="15.75">
      <c r="A577" s="355"/>
      <c r="B577" s="356"/>
      <c r="C577" s="357"/>
      <c r="D577" s="57" t="s">
        <v>116</v>
      </c>
      <c r="E577" s="58">
        <f t="shared" ref="E577:H577" si="2763">E578</f>
        <v>4000</v>
      </c>
      <c r="F577" s="58">
        <f t="shared" si="2763"/>
        <v>0</v>
      </c>
      <c r="G577" s="58">
        <f t="shared" si="2763"/>
        <v>4000</v>
      </c>
      <c r="H577" s="58">
        <f t="shared" si="2763"/>
        <v>0</v>
      </c>
      <c r="I577" s="60">
        <f t="shared" si="2631"/>
        <v>0</v>
      </c>
      <c r="J577" s="60">
        <f t="shared" si="2632"/>
        <v>0</v>
      </c>
      <c r="K577" s="58">
        <f t="shared" ref="K577:W577" si="2764">K578</f>
        <v>0</v>
      </c>
      <c r="L577" s="58">
        <f t="shared" si="2764"/>
        <v>0</v>
      </c>
      <c r="M577" s="58">
        <f t="shared" si="2764"/>
        <v>0</v>
      </c>
      <c r="N577" s="58">
        <f t="shared" si="2764"/>
        <v>0</v>
      </c>
      <c r="O577" s="58">
        <f t="shared" si="2764"/>
        <v>0</v>
      </c>
      <c r="P577" s="58">
        <f t="shared" si="2764"/>
        <v>0</v>
      </c>
      <c r="Q577" s="58">
        <f t="shared" si="2764"/>
        <v>0</v>
      </c>
      <c r="R577" s="58">
        <f t="shared" si="2764"/>
        <v>0</v>
      </c>
      <c r="S577" s="58">
        <f t="shared" si="2764"/>
        <v>0</v>
      </c>
      <c r="T577" s="58">
        <f t="shared" si="2764"/>
        <v>0</v>
      </c>
      <c r="U577" s="58">
        <f t="shared" si="2764"/>
        <v>0</v>
      </c>
      <c r="V577" s="58">
        <f t="shared" si="2764"/>
        <v>0</v>
      </c>
      <c r="W577" s="58">
        <f t="shared" si="2764"/>
        <v>0</v>
      </c>
      <c r="X577" s="63">
        <f t="shared" ref="X577:Y577" si="2765">IF(O577&gt;0,O577/K577,0)</f>
        <v>0</v>
      </c>
      <c r="Y577" s="63">
        <f t="shared" si="2765"/>
        <v>0</v>
      </c>
      <c r="Z577" s="63">
        <f t="shared" si="2391"/>
        <v>0</v>
      </c>
      <c r="AA577" s="58">
        <f t="shared" ref="AA577:BW577" si="2766">AA578</f>
        <v>0</v>
      </c>
      <c r="AB577" s="58">
        <f t="shared" si="2766"/>
        <v>0</v>
      </c>
      <c r="AC577" s="58">
        <f t="shared" si="2766"/>
        <v>0</v>
      </c>
      <c r="AD577" s="58">
        <f t="shared" si="2766"/>
        <v>0</v>
      </c>
      <c r="AE577" s="58">
        <f t="shared" si="2766"/>
        <v>0</v>
      </c>
      <c r="AF577" s="58">
        <f t="shared" si="2766"/>
        <v>0</v>
      </c>
      <c r="AG577" s="58">
        <f t="shared" si="2766"/>
        <v>0</v>
      </c>
      <c r="AH577" s="58">
        <f t="shared" si="2766"/>
        <v>0</v>
      </c>
      <c r="AI577" s="58">
        <f t="shared" si="2766"/>
        <v>0</v>
      </c>
      <c r="AJ577" s="58">
        <f t="shared" si="2766"/>
        <v>0</v>
      </c>
      <c r="AK577" s="58">
        <f t="shared" si="2766"/>
        <v>0</v>
      </c>
      <c r="AL577" s="58">
        <f t="shared" si="2766"/>
        <v>0</v>
      </c>
      <c r="AM577" s="58">
        <f t="shared" si="2766"/>
        <v>0</v>
      </c>
      <c r="AN577" s="58">
        <f t="shared" si="2766"/>
        <v>0</v>
      </c>
      <c r="AO577" s="58">
        <f t="shared" si="2766"/>
        <v>0</v>
      </c>
      <c r="AP577" s="58">
        <f t="shared" si="2766"/>
        <v>0</v>
      </c>
      <c r="AQ577" s="58">
        <f t="shared" si="2766"/>
        <v>0</v>
      </c>
      <c r="AR577" s="58">
        <f t="shared" si="2766"/>
        <v>0</v>
      </c>
      <c r="AS577" s="58">
        <f t="shared" si="2766"/>
        <v>0</v>
      </c>
      <c r="AT577" s="58">
        <f t="shared" si="2766"/>
        <v>0</v>
      </c>
      <c r="AU577" s="58">
        <f t="shared" si="2766"/>
        <v>0</v>
      </c>
      <c r="AV577" s="58">
        <f t="shared" si="2766"/>
        <v>0</v>
      </c>
      <c r="AW577" s="58">
        <f t="shared" si="2766"/>
        <v>0</v>
      </c>
      <c r="AX577" s="58">
        <f t="shared" si="2766"/>
        <v>0</v>
      </c>
      <c r="AY577" s="58">
        <f t="shared" si="2766"/>
        <v>0</v>
      </c>
      <c r="AZ577" s="58">
        <f t="shared" si="2766"/>
        <v>0</v>
      </c>
      <c r="BA577" s="58">
        <f t="shared" si="2766"/>
        <v>0</v>
      </c>
      <c r="BB577" s="58">
        <f t="shared" si="2766"/>
        <v>0</v>
      </c>
      <c r="BC577" s="58">
        <f t="shared" si="2766"/>
        <v>0</v>
      </c>
      <c r="BD577" s="58">
        <f t="shared" si="2766"/>
        <v>0</v>
      </c>
      <c r="BE577" s="58">
        <f t="shared" si="2766"/>
        <v>0</v>
      </c>
      <c r="BF577" s="58">
        <f t="shared" si="2766"/>
        <v>0</v>
      </c>
      <c r="BG577" s="58">
        <f t="shared" si="2766"/>
        <v>0</v>
      </c>
      <c r="BH577" s="58">
        <f t="shared" si="2766"/>
        <v>0</v>
      </c>
      <c r="BI577" s="58">
        <f t="shared" si="2766"/>
        <v>0</v>
      </c>
      <c r="BJ577" s="58">
        <f t="shared" si="2766"/>
        <v>0</v>
      </c>
      <c r="BK577" s="58">
        <f t="shared" si="2766"/>
        <v>0</v>
      </c>
      <c r="BL577" s="58">
        <f t="shared" si="2766"/>
        <v>0</v>
      </c>
      <c r="BM577" s="58">
        <f t="shared" si="2766"/>
        <v>0</v>
      </c>
      <c r="BN577" s="58">
        <f t="shared" si="2766"/>
        <v>0</v>
      </c>
      <c r="BO577" s="58">
        <f t="shared" si="2766"/>
        <v>0</v>
      </c>
      <c r="BP577" s="58">
        <f t="shared" si="2766"/>
        <v>0</v>
      </c>
      <c r="BQ577" s="58">
        <f t="shared" si="2766"/>
        <v>0</v>
      </c>
      <c r="BR577" s="58">
        <f t="shared" si="2766"/>
        <v>0</v>
      </c>
      <c r="BS577" s="58">
        <f t="shared" si="2766"/>
        <v>0</v>
      </c>
      <c r="BT577" s="58">
        <f t="shared" si="2766"/>
        <v>0</v>
      </c>
      <c r="BU577" s="58">
        <f t="shared" si="2766"/>
        <v>0</v>
      </c>
      <c r="BV577" s="58">
        <f t="shared" si="2766"/>
        <v>0</v>
      </c>
      <c r="BW577" s="58">
        <f t="shared" si="2766"/>
        <v>0</v>
      </c>
      <c r="BX577" s="1"/>
      <c r="BY577" s="1"/>
      <c r="BZ577" s="1"/>
      <c r="CA577" s="1"/>
      <c r="CB577" s="1"/>
      <c r="CC577" s="1"/>
      <c r="CD577" s="1"/>
      <c r="CE577" s="1"/>
      <c r="CF577" s="1"/>
      <c r="CG577" s="1"/>
    </row>
    <row r="578" spans="1:85" ht="15.75" customHeight="1">
      <c r="A578" s="84"/>
      <c r="B578" s="115"/>
      <c r="C578" s="86" t="s">
        <v>118</v>
      </c>
      <c r="D578" s="87" t="s">
        <v>119</v>
      </c>
      <c r="E578" s="70">
        <v>4000</v>
      </c>
      <c r="F578" s="71"/>
      <c r="G578" s="71">
        <f>E578-F578</f>
        <v>4000</v>
      </c>
      <c r="H578" s="70"/>
      <c r="I578" s="72">
        <f t="shared" si="2631"/>
        <v>0</v>
      </c>
      <c r="J578" s="72">
        <f t="shared" si="2632"/>
        <v>0</v>
      </c>
      <c r="K578" s="76"/>
      <c r="L578" s="401"/>
      <c r="M578" s="81"/>
      <c r="N578" s="107"/>
      <c r="O578" s="77">
        <f t="shared" ref="O578:Q578" si="2767">AA578+AD578+AG578+AJ578+AM578+AP578+AS578+AV578+AY578+BB578+BE578+BH578</f>
        <v>0</v>
      </c>
      <c r="P578" s="77">
        <f t="shared" si="2767"/>
        <v>0</v>
      </c>
      <c r="Q578" s="77">
        <f t="shared" si="2767"/>
        <v>0</v>
      </c>
      <c r="R578" s="77">
        <f t="shared" ref="R578:T578" si="2768">IF(BK578=0,SUM(AA578+AD578+AG578+AJ578+AM578+AP578+AS578+AV578+AY578+BB578+BE578+BH578),BK578)</f>
        <v>0</v>
      </c>
      <c r="S578" s="77">
        <f t="shared" si="2768"/>
        <v>0</v>
      </c>
      <c r="T578" s="77">
        <f t="shared" si="2768"/>
        <v>0</v>
      </c>
      <c r="U578" s="79">
        <f>K578-O578</f>
        <v>0</v>
      </c>
      <c r="V578" s="79">
        <f>L578-M578-S578</f>
        <v>0</v>
      </c>
      <c r="W578" s="79">
        <f>N578-Q578</f>
        <v>0</v>
      </c>
      <c r="X578" s="80">
        <f t="shared" ref="X578:Y578" si="2769">IF(O578&gt;0,O578/K578,0)</f>
        <v>0</v>
      </c>
      <c r="Y578" s="80">
        <f t="shared" si="2769"/>
        <v>0</v>
      </c>
      <c r="Z578" s="80">
        <f t="shared" si="2391"/>
        <v>0</v>
      </c>
      <c r="AA578" s="81"/>
      <c r="AB578" s="81"/>
      <c r="AC578" s="81"/>
      <c r="AD578" s="81"/>
      <c r="AE578" s="83"/>
      <c r="AF578" s="83"/>
      <c r="AG578" s="83"/>
      <c r="AH578" s="83"/>
      <c r="AI578" s="81"/>
      <c r="AJ578" s="81"/>
      <c r="AK578" s="81"/>
      <c r="AL578" s="81"/>
      <c r="AM578" s="81"/>
      <c r="AN578" s="81"/>
      <c r="AO578" s="81"/>
      <c r="AP578" s="81"/>
      <c r="AQ578" s="81"/>
      <c r="AR578" s="81"/>
      <c r="AS578" s="81"/>
      <c r="AT578" s="81"/>
      <c r="AU578" s="81"/>
      <c r="AV578" s="81"/>
      <c r="AW578" s="81"/>
      <c r="AX578" s="81"/>
      <c r="AY578" s="81"/>
      <c r="AZ578" s="81"/>
      <c r="BA578" s="81"/>
      <c r="BB578" s="81"/>
      <c r="BC578" s="81"/>
      <c r="BD578" s="81"/>
      <c r="BE578" s="81"/>
      <c r="BF578" s="81"/>
      <c r="BG578" s="81"/>
      <c r="BH578" s="81"/>
      <c r="BI578" s="81"/>
      <c r="BJ578" s="81"/>
      <c r="BK578" s="82">
        <v>0</v>
      </c>
      <c r="BL578" s="82">
        <v>0</v>
      </c>
      <c r="BM578" s="82">
        <v>0</v>
      </c>
      <c r="BN578" s="81">
        <f>IF(O578-BK578&gt;0,O578-BK578,0)</f>
        <v>0</v>
      </c>
      <c r="BO578" s="75">
        <f>IF(Q578-BM578&gt;0,Q578-BM578,0)</f>
        <v>0</v>
      </c>
      <c r="BP578" s="81">
        <f>IF(BN578+BO578&gt;0,BN578+BO578,0)</f>
        <v>0</v>
      </c>
      <c r="BQ578" s="81">
        <f>IF(U578=0,0,U578)</f>
        <v>0</v>
      </c>
      <c r="BR578" s="81">
        <f>IF(W578=0,0,W578)</f>
        <v>0</v>
      </c>
      <c r="BS578" s="81">
        <f>IF(BQ578+BR578&gt;0,BQ578+BR578,0)</f>
        <v>0</v>
      </c>
      <c r="BT578" s="81">
        <f>IF(V578&gt;0,V578,0)</f>
        <v>0</v>
      </c>
      <c r="BU578" s="81">
        <f>IF(BP578=0,0,BP578)</f>
        <v>0</v>
      </c>
      <c r="BV578" s="81">
        <f>IF(BS578=0,0,BS578)</f>
        <v>0</v>
      </c>
      <c r="BW578" s="81">
        <f>IF(BP578+BT578+BV578&gt;0,BP578+BT578+BV578,0)</f>
        <v>0</v>
      </c>
      <c r="BX578" s="1"/>
      <c r="BY578" s="1"/>
      <c r="BZ578" s="1"/>
      <c r="CA578" s="1"/>
      <c r="CB578" s="1"/>
      <c r="CC578" s="1"/>
      <c r="CD578" s="1"/>
      <c r="CE578" s="1"/>
      <c r="CF578" s="1"/>
      <c r="CG578" s="1"/>
    </row>
    <row r="579" spans="1:85" ht="15.75" customHeight="1">
      <c r="A579" s="270"/>
      <c r="B579" s="271"/>
      <c r="C579" s="272"/>
      <c r="D579" s="112" t="s">
        <v>632</v>
      </c>
      <c r="E579" s="58">
        <f t="shared" ref="E579:H579" si="2770">E580</f>
        <v>0</v>
      </c>
      <c r="F579" s="59">
        <f t="shared" si="2770"/>
        <v>0</v>
      </c>
      <c r="G579" s="59">
        <f t="shared" si="2770"/>
        <v>0</v>
      </c>
      <c r="H579" s="59">
        <f t="shared" si="2770"/>
        <v>0</v>
      </c>
      <c r="I579" s="60">
        <f t="shared" si="2631"/>
        <v>0</v>
      </c>
      <c r="J579" s="60">
        <f t="shared" si="2632"/>
        <v>0</v>
      </c>
      <c r="K579" s="59">
        <f t="shared" ref="K579:W579" si="2771">K580</f>
        <v>2850</v>
      </c>
      <c r="L579" s="59">
        <f t="shared" si="2771"/>
        <v>0</v>
      </c>
      <c r="M579" s="59">
        <f t="shared" si="2771"/>
        <v>0</v>
      </c>
      <c r="N579" s="59">
        <f t="shared" si="2771"/>
        <v>0</v>
      </c>
      <c r="O579" s="59">
        <f t="shared" si="2771"/>
        <v>2850</v>
      </c>
      <c r="P579" s="59">
        <f t="shared" si="2771"/>
        <v>0</v>
      </c>
      <c r="Q579" s="59">
        <f t="shared" si="2771"/>
        <v>0</v>
      </c>
      <c r="R579" s="59">
        <f t="shared" si="2771"/>
        <v>2850</v>
      </c>
      <c r="S579" s="59">
        <f t="shared" si="2771"/>
        <v>0</v>
      </c>
      <c r="T579" s="59">
        <f t="shared" si="2771"/>
        <v>0</v>
      </c>
      <c r="U579" s="59">
        <f t="shared" si="2771"/>
        <v>0</v>
      </c>
      <c r="V579" s="59">
        <f t="shared" si="2771"/>
        <v>0</v>
      </c>
      <c r="W579" s="59">
        <f t="shared" si="2771"/>
        <v>0</v>
      </c>
      <c r="X579" s="63">
        <f t="shared" ref="X579:Y579" si="2772">IF(O579&gt;0,O579/K579,0)</f>
        <v>1</v>
      </c>
      <c r="Y579" s="63">
        <f t="shared" si="2772"/>
        <v>0</v>
      </c>
      <c r="Z579" s="63">
        <f t="shared" si="2391"/>
        <v>0</v>
      </c>
      <c r="AA579" s="59">
        <f t="shared" ref="AA579:BW579" si="2773">AA580</f>
        <v>0</v>
      </c>
      <c r="AB579" s="59">
        <f t="shared" si="2773"/>
        <v>0</v>
      </c>
      <c r="AC579" s="59">
        <f t="shared" si="2773"/>
        <v>0</v>
      </c>
      <c r="AD579" s="59">
        <f t="shared" si="2773"/>
        <v>0</v>
      </c>
      <c r="AE579" s="59">
        <f t="shared" si="2773"/>
        <v>0</v>
      </c>
      <c r="AF579" s="59">
        <f t="shared" si="2773"/>
        <v>0</v>
      </c>
      <c r="AG579" s="59">
        <f t="shared" si="2773"/>
        <v>0</v>
      </c>
      <c r="AH579" s="59">
        <f t="shared" si="2773"/>
        <v>0</v>
      </c>
      <c r="AI579" s="59">
        <f t="shared" si="2773"/>
        <v>0</v>
      </c>
      <c r="AJ579" s="59">
        <f t="shared" si="2773"/>
        <v>0</v>
      </c>
      <c r="AK579" s="59">
        <f t="shared" si="2773"/>
        <v>0</v>
      </c>
      <c r="AL579" s="59">
        <f t="shared" si="2773"/>
        <v>0</v>
      </c>
      <c r="AM579" s="59">
        <f t="shared" si="2773"/>
        <v>0</v>
      </c>
      <c r="AN579" s="59">
        <f t="shared" si="2773"/>
        <v>0</v>
      </c>
      <c r="AO579" s="59">
        <f t="shared" si="2773"/>
        <v>0</v>
      </c>
      <c r="AP579" s="59">
        <f t="shared" si="2773"/>
        <v>1960</v>
      </c>
      <c r="AQ579" s="59">
        <f t="shared" si="2773"/>
        <v>0</v>
      </c>
      <c r="AR579" s="59">
        <f t="shared" si="2773"/>
        <v>0</v>
      </c>
      <c r="AS579" s="59">
        <f t="shared" si="2773"/>
        <v>0</v>
      </c>
      <c r="AT579" s="59">
        <f t="shared" si="2773"/>
        <v>0</v>
      </c>
      <c r="AU579" s="59">
        <f t="shared" si="2773"/>
        <v>0</v>
      </c>
      <c r="AV579" s="59">
        <f t="shared" si="2773"/>
        <v>0</v>
      </c>
      <c r="AW579" s="59">
        <f t="shared" si="2773"/>
        <v>0</v>
      </c>
      <c r="AX579" s="59">
        <f t="shared" si="2773"/>
        <v>0</v>
      </c>
      <c r="AY579" s="59">
        <f t="shared" si="2773"/>
        <v>0</v>
      </c>
      <c r="AZ579" s="59">
        <f t="shared" si="2773"/>
        <v>0</v>
      </c>
      <c r="BA579" s="59">
        <f t="shared" si="2773"/>
        <v>0</v>
      </c>
      <c r="BB579" s="59">
        <f t="shared" si="2773"/>
        <v>0</v>
      </c>
      <c r="BC579" s="59">
        <f t="shared" si="2773"/>
        <v>0</v>
      </c>
      <c r="BD579" s="59">
        <f t="shared" si="2773"/>
        <v>0</v>
      </c>
      <c r="BE579" s="59">
        <f t="shared" si="2773"/>
        <v>890</v>
      </c>
      <c r="BF579" s="59">
        <f t="shared" si="2773"/>
        <v>0</v>
      </c>
      <c r="BG579" s="59">
        <f t="shared" si="2773"/>
        <v>0</v>
      </c>
      <c r="BH579" s="59">
        <f t="shared" si="2773"/>
        <v>0</v>
      </c>
      <c r="BI579" s="59">
        <f t="shared" si="2773"/>
        <v>0</v>
      </c>
      <c r="BJ579" s="59">
        <f t="shared" si="2773"/>
        <v>0</v>
      </c>
      <c r="BK579" s="59">
        <f t="shared" si="2773"/>
        <v>2850</v>
      </c>
      <c r="BL579" s="59">
        <f t="shared" si="2773"/>
        <v>0</v>
      </c>
      <c r="BM579" s="59">
        <f t="shared" si="2773"/>
        <v>0</v>
      </c>
      <c r="BN579" s="59">
        <f t="shared" si="2773"/>
        <v>0</v>
      </c>
      <c r="BO579" s="59">
        <f t="shared" si="2773"/>
        <v>0</v>
      </c>
      <c r="BP579" s="59">
        <f t="shared" si="2773"/>
        <v>0</v>
      </c>
      <c r="BQ579" s="59">
        <f t="shared" si="2773"/>
        <v>0</v>
      </c>
      <c r="BR579" s="59">
        <f t="shared" si="2773"/>
        <v>0</v>
      </c>
      <c r="BS579" s="59">
        <f t="shared" si="2773"/>
        <v>0</v>
      </c>
      <c r="BT579" s="59">
        <f t="shared" si="2773"/>
        <v>0</v>
      </c>
      <c r="BU579" s="59">
        <f t="shared" si="2773"/>
        <v>0</v>
      </c>
      <c r="BV579" s="59">
        <f t="shared" si="2773"/>
        <v>0</v>
      </c>
      <c r="BW579" s="59">
        <f t="shared" si="2773"/>
        <v>0</v>
      </c>
      <c r="BX579" s="1"/>
      <c r="BY579" s="1"/>
      <c r="BZ579" s="1"/>
      <c r="CA579" s="1"/>
      <c r="CB579" s="1"/>
      <c r="CC579" s="1"/>
      <c r="CD579" s="1"/>
      <c r="CE579" s="1"/>
      <c r="CF579" s="1"/>
      <c r="CG579" s="1"/>
    </row>
    <row r="580" spans="1:85" ht="15.75" customHeight="1">
      <c r="A580" s="125" t="s">
        <v>881</v>
      </c>
      <c r="B580" s="115"/>
      <c r="C580" s="86" t="s">
        <v>831</v>
      </c>
      <c r="D580" s="396" t="s">
        <v>832</v>
      </c>
      <c r="E580" s="174"/>
      <c r="F580" s="175"/>
      <c r="G580" s="71">
        <f>E580-F580</f>
        <v>0</v>
      </c>
      <c r="H580" s="70"/>
      <c r="I580" s="72">
        <f t="shared" si="2631"/>
        <v>0</v>
      </c>
      <c r="J580" s="72">
        <f t="shared" si="2632"/>
        <v>0</v>
      </c>
      <c r="K580" s="94">
        <f>14000-10000-1150</f>
        <v>2850</v>
      </c>
      <c r="L580" s="75"/>
      <c r="M580" s="81"/>
      <c r="N580" s="88"/>
      <c r="O580" s="77">
        <f t="shared" ref="O580:Q580" si="2774">AA580+AD580+AG580+AJ580+AM580+AP580+AS580+AV580+AY580+BB580+BE580+BH580</f>
        <v>2850</v>
      </c>
      <c r="P580" s="77">
        <f t="shared" si="2774"/>
        <v>0</v>
      </c>
      <c r="Q580" s="77">
        <f t="shared" si="2774"/>
        <v>0</v>
      </c>
      <c r="R580" s="77">
        <f t="shared" ref="R580:T580" si="2775">IF(BK580=0,SUM(AA580+AD580+AG580+AJ580+AM580+AP580+AS580+AV580+AY580+BB580+BE580+BH580),BK580)</f>
        <v>2850</v>
      </c>
      <c r="S580" s="77">
        <f t="shared" si="2775"/>
        <v>0</v>
      </c>
      <c r="T580" s="77">
        <f t="shared" si="2775"/>
        <v>0</v>
      </c>
      <c r="U580" s="78">
        <f>K580-O580</f>
        <v>0</v>
      </c>
      <c r="V580" s="79">
        <f>L580-M580-S580</f>
        <v>0</v>
      </c>
      <c r="W580" s="79">
        <f>N580-Q580</f>
        <v>0</v>
      </c>
      <c r="X580" s="80">
        <f t="shared" ref="X580:Y580" si="2776">IF(O580&gt;0,O580/K580,0)</f>
        <v>1</v>
      </c>
      <c r="Y580" s="80">
        <f t="shared" si="2776"/>
        <v>0</v>
      </c>
      <c r="Z580" s="80">
        <f t="shared" si="2391"/>
        <v>0</v>
      </c>
      <c r="AA580" s="81"/>
      <c r="AB580" s="81"/>
      <c r="AC580" s="81"/>
      <c r="AD580" s="82"/>
      <c r="AE580" s="83"/>
      <c r="AF580" s="83"/>
      <c r="AG580" s="128"/>
      <c r="AH580" s="83"/>
      <c r="AI580" s="81"/>
      <c r="AJ580" s="81"/>
      <c r="AK580" s="81"/>
      <c r="AL580" s="81"/>
      <c r="AM580" s="81"/>
      <c r="AN580" s="81"/>
      <c r="AO580" s="81"/>
      <c r="AP580" s="81">
        <f>590+980+390</f>
        <v>1960</v>
      </c>
      <c r="AQ580" s="81"/>
      <c r="AR580" s="81"/>
      <c r="AS580" s="81"/>
      <c r="AT580" s="81"/>
      <c r="AU580" s="81"/>
      <c r="AV580" s="81"/>
      <c r="AW580" s="81"/>
      <c r="AX580" s="81"/>
      <c r="AY580" s="81"/>
      <c r="AZ580" s="81"/>
      <c r="BA580" s="81"/>
      <c r="BB580" s="81"/>
      <c r="BC580" s="81"/>
      <c r="BD580" s="81"/>
      <c r="BE580" s="81">
        <f>490+200+200</f>
        <v>890</v>
      </c>
      <c r="BF580" s="81"/>
      <c r="BG580" s="81"/>
      <c r="BH580" s="81"/>
      <c r="BI580" s="81"/>
      <c r="BJ580" s="81"/>
      <c r="BK580" s="82">
        <v>2850</v>
      </c>
      <c r="BL580" s="82">
        <v>0</v>
      </c>
      <c r="BM580" s="82">
        <v>0</v>
      </c>
      <c r="BN580" s="81">
        <f>IF(O580-BK580&gt;0,O580-BK580,0)</f>
        <v>0</v>
      </c>
      <c r="BO580" s="75">
        <f>IF(Q580-BM580&gt;0,Q580-BM580,0)</f>
        <v>0</v>
      </c>
      <c r="BP580" s="81">
        <f>IF(BN580+BO580&gt;0,BN580+BO580,0)</f>
        <v>0</v>
      </c>
      <c r="BQ580" s="81">
        <f>IF(U580=0,0,U580)</f>
        <v>0</v>
      </c>
      <c r="BR580" s="81">
        <f>IF(W580=0,0,W580)</f>
        <v>0</v>
      </c>
      <c r="BS580" s="81">
        <f>IF(BQ580+BR580&gt;0,BQ580+BR580,0)</f>
        <v>0</v>
      </c>
      <c r="BT580" s="81">
        <f>IF(V580&gt;0,V580,0)</f>
        <v>0</v>
      </c>
      <c r="BU580" s="81">
        <f>IF(BP580=0,0,BP580)</f>
        <v>0</v>
      </c>
      <c r="BV580" s="81">
        <f>IF(BS580=0,0,BS580)</f>
        <v>0</v>
      </c>
      <c r="BW580" s="81">
        <f>IF(BP580+BT580+BV580&gt;0,BP580+BT580+BV580,0)</f>
        <v>0</v>
      </c>
      <c r="BX580" s="1"/>
      <c r="BY580" s="1"/>
      <c r="BZ580" s="1"/>
      <c r="CA580" s="1"/>
      <c r="CB580" s="1"/>
      <c r="CC580" s="1"/>
      <c r="CD580" s="1"/>
      <c r="CE580" s="1"/>
      <c r="CF580" s="1"/>
      <c r="CG580" s="1"/>
    </row>
    <row r="581" spans="1:85" ht="15.75">
      <c r="A581" s="109"/>
      <c r="B581" s="110"/>
      <c r="C581" s="111"/>
      <c r="D581" s="112" t="s">
        <v>128</v>
      </c>
      <c r="E581" s="58">
        <f t="shared" ref="E581:H581" si="2777">SUM(E582:E641)</f>
        <v>637100</v>
      </c>
      <c r="F581" s="58">
        <f t="shared" si="2777"/>
        <v>0</v>
      </c>
      <c r="G581" s="58">
        <f t="shared" si="2777"/>
        <v>637100</v>
      </c>
      <c r="H581" s="58">
        <f t="shared" si="2777"/>
        <v>0</v>
      </c>
      <c r="I581" s="60">
        <f t="shared" si="2631"/>
        <v>0.8129199183801602</v>
      </c>
      <c r="J581" s="60">
        <f t="shared" si="2632"/>
        <v>0.67394016637890453</v>
      </c>
      <c r="K581" s="58">
        <f t="shared" ref="K581:W581" si="2778">SUM(K582:K641)</f>
        <v>517911.28000000009</v>
      </c>
      <c r="L581" s="58">
        <f t="shared" si="2778"/>
        <v>105732.73</v>
      </c>
      <c r="M581" s="58">
        <f t="shared" si="2778"/>
        <v>1088.1600000000001</v>
      </c>
      <c r="N581" s="58">
        <f t="shared" si="2778"/>
        <v>0</v>
      </c>
      <c r="O581" s="58">
        <f t="shared" si="2778"/>
        <v>429367.28000000009</v>
      </c>
      <c r="P581" s="58">
        <f t="shared" si="2778"/>
        <v>97787.159999999989</v>
      </c>
      <c r="Q581" s="58">
        <f t="shared" si="2778"/>
        <v>0</v>
      </c>
      <c r="R581" s="58">
        <f t="shared" si="2778"/>
        <v>429367.28000000009</v>
      </c>
      <c r="S581" s="58">
        <f t="shared" si="2778"/>
        <v>97787.159999999989</v>
      </c>
      <c r="T581" s="58">
        <f t="shared" si="2778"/>
        <v>0</v>
      </c>
      <c r="U581" s="58">
        <f t="shared" si="2778"/>
        <v>88544</v>
      </c>
      <c r="V581" s="58">
        <f t="shared" si="2778"/>
        <v>6857.41</v>
      </c>
      <c r="W581" s="58">
        <f t="shared" si="2778"/>
        <v>0</v>
      </c>
      <c r="X581" s="63">
        <f t="shared" ref="X581:Y581" si="2779">IF(O581&gt;0,O581/K581,0)</f>
        <v>0.82903635541593146</v>
      </c>
      <c r="Y581" s="63">
        <f t="shared" si="2779"/>
        <v>0.92485231394290102</v>
      </c>
      <c r="Z581" s="63">
        <f t="shared" si="2391"/>
        <v>0</v>
      </c>
      <c r="AA581" s="58">
        <f t="shared" ref="AA581:BW581" si="2780">SUM(AA582:AA641)</f>
        <v>0</v>
      </c>
      <c r="AB581" s="58">
        <f t="shared" si="2780"/>
        <v>50041.02</v>
      </c>
      <c r="AC581" s="58">
        <f t="shared" si="2780"/>
        <v>0</v>
      </c>
      <c r="AD581" s="58">
        <f t="shared" si="2780"/>
        <v>0</v>
      </c>
      <c r="AE581" s="58">
        <f t="shared" si="2780"/>
        <v>6975.6399999999994</v>
      </c>
      <c r="AF581" s="58">
        <f t="shared" si="2780"/>
        <v>0</v>
      </c>
      <c r="AG581" s="58">
        <f t="shared" si="2780"/>
        <v>87098.36</v>
      </c>
      <c r="AH581" s="58">
        <f t="shared" si="2780"/>
        <v>39224</v>
      </c>
      <c r="AI581" s="58">
        <f t="shared" si="2780"/>
        <v>0</v>
      </c>
      <c r="AJ581" s="58">
        <f t="shared" si="2780"/>
        <v>12534.54</v>
      </c>
      <c r="AK581" s="58">
        <f t="shared" si="2780"/>
        <v>0</v>
      </c>
      <c r="AL581" s="58">
        <f t="shared" si="2780"/>
        <v>0</v>
      </c>
      <c r="AM581" s="58">
        <f t="shared" si="2780"/>
        <v>50377</v>
      </c>
      <c r="AN581" s="58">
        <f t="shared" si="2780"/>
        <v>115</v>
      </c>
      <c r="AO581" s="58">
        <f t="shared" si="2780"/>
        <v>0</v>
      </c>
      <c r="AP581" s="58">
        <f t="shared" si="2780"/>
        <v>26338.799999999999</v>
      </c>
      <c r="AQ581" s="58">
        <f t="shared" si="2780"/>
        <v>1431.5</v>
      </c>
      <c r="AR581" s="58">
        <f t="shared" si="2780"/>
        <v>0</v>
      </c>
      <c r="AS581" s="58">
        <f t="shared" si="2780"/>
        <v>63118</v>
      </c>
      <c r="AT581" s="58">
        <f t="shared" si="2780"/>
        <v>0</v>
      </c>
      <c r="AU581" s="58">
        <f t="shared" si="2780"/>
        <v>0</v>
      </c>
      <c r="AV581" s="58">
        <f t="shared" si="2780"/>
        <v>59394</v>
      </c>
      <c r="AW581" s="58">
        <f t="shared" si="2780"/>
        <v>0</v>
      </c>
      <c r="AX581" s="58">
        <f t="shared" si="2780"/>
        <v>0</v>
      </c>
      <c r="AY581" s="58">
        <f t="shared" si="2780"/>
        <v>20932.330000000002</v>
      </c>
      <c r="AZ581" s="58">
        <f t="shared" si="2780"/>
        <v>0</v>
      </c>
      <c r="BA581" s="58">
        <f t="shared" si="2780"/>
        <v>0</v>
      </c>
      <c r="BB581" s="58">
        <f t="shared" si="2780"/>
        <v>45679.199999999997</v>
      </c>
      <c r="BC581" s="58">
        <f t="shared" si="2780"/>
        <v>0</v>
      </c>
      <c r="BD581" s="58">
        <f t="shared" si="2780"/>
        <v>0</v>
      </c>
      <c r="BE581" s="58">
        <f t="shared" si="2780"/>
        <v>12485.05</v>
      </c>
      <c r="BF581" s="58">
        <f t="shared" si="2780"/>
        <v>0</v>
      </c>
      <c r="BG581" s="58">
        <f t="shared" si="2780"/>
        <v>0</v>
      </c>
      <c r="BH581" s="58">
        <f t="shared" si="2780"/>
        <v>51410</v>
      </c>
      <c r="BI581" s="58">
        <f t="shared" si="2780"/>
        <v>0</v>
      </c>
      <c r="BJ581" s="58">
        <f t="shared" si="2780"/>
        <v>0</v>
      </c>
      <c r="BK581" s="58">
        <f t="shared" si="2780"/>
        <v>429367.28000000009</v>
      </c>
      <c r="BL581" s="58">
        <f t="shared" si="2780"/>
        <v>97787.159999999989</v>
      </c>
      <c r="BM581" s="58">
        <f t="shared" si="2780"/>
        <v>0</v>
      </c>
      <c r="BN581" s="58">
        <f t="shared" si="2780"/>
        <v>0</v>
      </c>
      <c r="BO581" s="58">
        <f t="shared" si="2780"/>
        <v>0</v>
      </c>
      <c r="BP581" s="58">
        <f t="shared" si="2780"/>
        <v>0</v>
      </c>
      <c r="BQ581" s="58">
        <f t="shared" si="2780"/>
        <v>88544</v>
      </c>
      <c r="BR581" s="58">
        <f t="shared" si="2780"/>
        <v>0</v>
      </c>
      <c r="BS581" s="58">
        <f t="shared" si="2780"/>
        <v>88544</v>
      </c>
      <c r="BT581" s="58">
        <f t="shared" si="2780"/>
        <v>6857.41</v>
      </c>
      <c r="BU581" s="58">
        <f t="shared" si="2780"/>
        <v>0</v>
      </c>
      <c r="BV581" s="58">
        <f t="shared" si="2780"/>
        <v>88544</v>
      </c>
      <c r="BW581" s="58">
        <f t="shared" si="2780"/>
        <v>95401.41</v>
      </c>
      <c r="BX581" s="65"/>
      <c r="BY581" s="65"/>
      <c r="BZ581" s="65"/>
      <c r="CA581" s="65"/>
      <c r="CB581" s="65"/>
      <c r="CC581" s="65"/>
      <c r="CD581" s="65"/>
      <c r="CE581" s="65"/>
      <c r="CF581" s="65"/>
      <c r="CG581" s="65"/>
    </row>
    <row r="582" spans="1:85" ht="15.75" customHeight="1">
      <c r="A582" s="84"/>
      <c r="B582" s="115"/>
      <c r="C582" s="86" t="s">
        <v>129</v>
      </c>
      <c r="D582" s="292" t="s">
        <v>638</v>
      </c>
      <c r="E582" s="163">
        <f>100000+15000</f>
        <v>115000</v>
      </c>
      <c r="F582" s="164"/>
      <c r="G582" s="71">
        <f t="shared" ref="G582:G641" si="2781">E582-F582</f>
        <v>115000</v>
      </c>
      <c r="H582" s="70"/>
      <c r="I582" s="72">
        <f t="shared" si="2631"/>
        <v>0</v>
      </c>
      <c r="J582" s="72">
        <f t="shared" si="2632"/>
        <v>0</v>
      </c>
      <c r="K582" s="76"/>
      <c r="L582" s="75"/>
      <c r="M582" s="81"/>
      <c r="N582" s="88"/>
      <c r="O582" s="77">
        <f t="shared" ref="O582:Q582" si="2782">AA582+AD582+AG582+AJ582+AM582+AP582+AS582+AV582+AY582+BB582+BE582+BH582</f>
        <v>0</v>
      </c>
      <c r="P582" s="77">
        <f t="shared" si="2782"/>
        <v>0</v>
      </c>
      <c r="Q582" s="77">
        <f t="shared" si="2782"/>
        <v>0</v>
      </c>
      <c r="R582" s="77">
        <f t="shared" ref="R582:T582" si="2783">IF(BK582=0,SUM(AA582+AD582+AG582+AJ582+AM582+AP582+AS582+AV582+AY582+BB582+BE582+BH582),BK582)</f>
        <v>0</v>
      </c>
      <c r="S582" s="77">
        <f t="shared" si="2783"/>
        <v>0</v>
      </c>
      <c r="T582" s="77">
        <f t="shared" si="2783"/>
        <v>0</v>
      </c>
      <c r="U582" s="79">
        <f t="shared" ref="U582:U641" si="2784">K582-O582</f>
        <v>0</v>
      </c>
      <c r="V582" s="79">
        <f t="shared" ref="V582:V641" si="2785">L582-M582-S582</f>
        <v>0</v>
      </c>
      <c r="W582" s="79">
        <f t="shared" ref="W582:W641" si="2786">N582-Q582</f>
        <v>0</v>
      </c>
      <c r="X582" s="80">
        <f t="shared" ref="X582:Y582" si="2787">IF(O582&gt;0,O582/K582,0)</f>
        <v>0</v>
      </c>
      <c r="Y582" s="80">
        <f t="shared" si="2787"/>
        <v>0</v>
      </c>
      <c r="Z582" s="80">
        <f t="shared" si="2391"/>
        <v>0</v>
      </c>
      <c r="AA582" s="81"/>
      <c r="AB582" s="81"/>
      <c r="AC582" s="81"/>
      <c r="AD582" s="81"/>
      <c r="AE582" s="83"/>
      <c r="AF582" s="83"/>
      <c r="AG582" s="83"/>
      <c r="AH582" s="83"/>
      <c r="AI582" s="81"/>
      <c r="AJ582" s="81"/>
      <c r="AK582" s="81"/>
      <c r="AL582" s="81"/>
      <c r="AM582" s="81"/>
      <c r="AN582" s="81"/>
      <c r="AO582" s="81"/>
      <c r="AP582" s="81"/>
      <c r="AQ582" s="81"/>
      <c r="AR582" s="81"/>
      <c r="AS582" s="81"/>
      <c r="AT582" s="81"/>
      <c r="AU582" s="81"/>
      <c r="AV582" s="81"/>
      <c r="AW582" s="81"/>
      <c r="AX582" s="81"/>
      <c r="AY582" s="81"/>
      <c r="AZ582" s="81"/>
      <c r="BA582" s="81"/>
      <c r="BB582" s="81"/>
      <c r="BC582" s="81"/>
      <c r="BD582" s="81"/>
      <c r="BE582" s="81"/>
      <c r="BF582" s="81"/>
      <c r="BG582" s="81"/>
      <c r="BH582" s="81"/>
      <c r="BI582" s="81"/>
      <c r="BJ582" s="81"/>
      <c r="BK582" s="82">
        <v>0</v>
      </c>
      <c r="BL582" s="82">
        <v>0</v>
      </c>
      <c r="BM582" s="82">
        <v>0</v>
      </c>
      <c r="BN582" s="81">
        <f t="shared" ref="BN582:BN641" si="2788">IF(O582-BK582&gt;0,O582-BK582,0)</f>
        <v>0</v>
      </c>
      <c r="BO582" s="75">
        <f t="shared" ref="BO582:BO641" si="2789">IF(Q582-BM582&gt;0,Q582-BM582,0)</f>
        <v>0</v>
      </c>
      <c r="BP582" s="81">
        <f t="shared" ref="BP582:BP641" si="2790">IF(BN582+BO582&gt;0,BN582+BO582,0)</f>
        <v>0</v>
      </c>
      <c r="BQ582" s="81">
        <f t="shared" ref="BQ582:BQ641" si="2791">IF(U582=0,0,U582)</f>
        <v>0</v>
      </c>
      <c r="BR582" s="81">
        <f t="shared" ref="BR582:BR641" si="2792">IF(W582=0,0,W582)</f>
        <v>0</v>
      </c>
      <c r="BS582" s="81">
        <f t="shared" ref="BS582:BS641" si="2793">IF(BQ582+BR582&gt;0,BQ582+BR582,0)</f>
        <v>0</v>
      </c>
      <c r="BT582" s="81">
        <f t="shared" ref="BT582:BT641" si="2794">IF(V582&gt;0,V582,0)</f>
        <v>0</v>
      </c>
      <c r="BU582" s="81">
        <f t="shared" ref="BU582:BU641" si="2795">IF(BP582=0,0,BP582)</f>
        <v>0</v>
      </c>
      <c r="BV582" s="81">
        <f t="shared" ref="BV582:BV641" si="2796">IF(BS582=0,0,BS582)</f>
        <v>0</v>
      </c>
      <c r="BW582" s="81">
        <f t="shared" ref="BW582:BW641" si="2797">IF(BP582+BT582+BV582&gt;0,BP582+BT582+BV582,0)</f>
        <v>0</v>
      </c>
      <c r="BX582" s="1"/>
      <c r="BY582" s="1"/>
      <c r="BZ582" s="1"/>
      <c r="CA582" s="1"/>
      <c r="CB582" s="1"/>
      <c r="CC582" s="1"/>
      <c r="CD582" s="1"/>
      <c r="CE582" s="1"/>
      <c r="CF582" s="1"/>
      <c r="CG582" s="1"/>
    </row>
    <row r="583" spans="1:85" ht="15.75" customHeight="1">
      <c r="A583" s="125" t="s">
        <v>882</v>
      </c>
      <c r="B583" s="115"/>
      <c r="C583" s="86" t="s">
        <v>131</v>
      </c>
      <c r="D583" s="135" t="s">
        <v>883</v>
      </c>
      <c r="E583" s="163">
        <v>30000</v>
      </c>
      <c r="F583" s="164"/>
      <c r="G583" s="71">
        <f t="shared" si="2781"/>
        <v>30000</v>
      </c>
      <c r="H583" s="70"/>
      <c r="I583" s="72">
        <f t="shared" si="2631"/>
        <v>0.16</v>
      </c>
      <c r="J583" s="72">
        <f t="shared" si="2632"/>
        <v>8.3199999999999996E-2</v>
      </c>
      <c r="K583" s="94">
        <v>4800</v>
      </c>
      <c r="L583" s="75"/>
      <c r="M583" s="81"/>
      <c r="N583" s="88"/>
      <c r="O583" s="77">
        <f t="shared" ref="O583:Q583" si="2798">AA583+AD583+AG583+AJ583+AM583+AP583+AS583+AV583+AY583+BB583+BE583+BH583</f>
        <v>2496</v>
      </c>
      <c r="P583" s="77">
        <f t="shared" si="2798"/>
        <v>0</v>
      </c>
      <c r="Q583" s="77">
        <f t="shared" si="2798"/>
        <v>0</v>
      </c>
      <c r="R583" s="77">
        <f t="shared" ref="R583:T583" si="2799">IF(BK583=0,SUM(AA583+AD583+AG583+AJ583+AM583+AP583+AS583+AV583+AY583+BB583+BE583+BH583),BK583)</f>
        <v>2496</v>
      </c>
      <c r="S583" s="77">
        <f t="shared" si="2799"/>
        <v>0</v>
      </c>
      <c r="T583" s="77">
        <f t="shared" si="2799"/>
        <v>0</v>
      </c>
      <c r="U583" s="78">
        <f t="shared" si="2784"/>
        <v>2304</v>
      </c>
      <c r="V583" s="79">
        <f t="shared" si="2785"/>
        <v>0</v>
      </c>
      <c r="W583" s="79">
        <f t="shared" si="2786"/>
        <v>0</v>
      </c>
      <c r="X583" s="80">
        <f t="shared" ref="X583:Y583" si="2800">IF(O583&gt;0,O583/K583,0)</f>
        <v>0.52</v>
      </c>
      <c r="Y583" s="80">
        <f t="shared" si="2800"/>
        <v>0</v>
      </c>
      <c r="Z583" s="80">
        <f t="shared" si="2391"/>
        <v>0</v>
      </c>
      <c r="AA583" s="81"/>
      <c r="AB583" s="81"/>
      <c r="AC583" s="81"/>
      <c r="AD583" s="81"/>
      <c r="AE583" s="83"/>
      <c r="AF583" s="83"/>
      <c r="AG583" s="83"/>
      <c r="AH583" s="83"/>
      <c r="AI583" s="81"/>
      <c r="AJ583" s="82">
        <v>384</v>
      </c>
      <c r="AK583" s="81"/>
      <c r="AL583" s="81"/>
      <c r="AM583" s="82">
        <v>448</v>
      </c>
      <c r="AN583" s="81"/>
      <c r="AO583" s="81"/>
      <c r="AP583" s="81"/>
      <c r="AQ583" s="81"/>
      <c r="AR583" s="81"/>
      <c r="AS583" s="82">
        <v>448</v>
      </c>
      <c r="AT583" s="81"/>
      <c r="AU583" s="81"/>
      <c r="AV583" s="81"/>
      <c r="AW583" s="81"/>
      <c r="AX583" s="81"/>
      <c r="AY583" s="82">
        <v>416</v>
      </c>
      <c r="AZ583" s="81"/>
      <c r="BA583" s="81"/>
      <c r="BB583" s="81"/>
      <c r="BC583" s="81"/>
      <c r="BD583" s="81"/>
      <c r="BE583" s="81">
        <f>416</f>
        <v>416</v>
      </c>
      <c r="BF583" s="81"/>
      <c r="BG583" s="81"/>
      <c r="BH583" s="81">
        <f>384</f>
        <v>384</v>
      </c>
      <c r="BI583" s="81"/>
      <c r="BJ583" s="81"/>
      <c r="BK583" s="82">
        <v>2496</v>
      </c>
      <c r="BL583" s="82">
        <v>0</v>
      </c>
      <c r="BM583" s="82">
        <v>0</v>
      </c>
      <c r="BN583" s="81">
        <f t="shared" si="2788"/>
        <v>0</v>
      </c>
      <c r="BO583" s="75">
        <f t="shared" si="2789"/>
        <v>0</v>
      </c>
      <c r="BP583" s="81">
        <f t="shared" si="2790"/>
        <v>0</v>
      </c>
      <c r="BQ583" s="81">
        <f t="shared" si="2791"/>
        <v>2304</v>
      </c>
      <c r="BR583" s="81">
        <f t="shared" si="2792"/>
        <v>0</v>
      </c>
      <c r="BS583" s="81">
        <f t="shared" si="2793"/>
        <v>2304</v>
      </c>
      <c r="BT583" s="81">
        <f t="shared" si="2794"/>
        <v>0</v>
      </c>
      <c r="BU583" s="81">
        <f t="shared" si="2795"/>
        <v>0</v>
      </c>
      <c r="BV583" s="81">
        <f t="shared" si="2796"/>
        <v>2304</v>
      </c>
      <c r="BW583" s="81">
        <f t="shared" si="2797"/>
        <v>2304</v>
      </c>
      <c r="BX583" s="1"/>
      <c r="BY583" s="1"/>
      <c r="BZ583" s="1"/>
      <c r="CA583" s="1"/>
      <c r="CB583" s="1"/>
      <c r="CC583" s="1"/>
      <c r="CD583" s="1"/>
      <c r="CE583" s="1"/>
      <c r="CF583" s="1"/>
      <c r="CG583" s="1"/>
    </row>
    <row r="584" spans="1:85" ht="15.75" customHeight="1">
      <c r="A584" s="125" t="s">
        <v>884</v>
      </c>
      <c r="B584" s="115"/>
      <c r="C584" s="86" t="s">
        <v>131</v>
      </c>
      <c r="D584" s="135" t="s">
        <v>885</v>
      </c>
      <c r="E584" s="163"/>
      <c r="F584" s="164"/>
      <c r="G584" s="71">
        <f t="shared" si="2781"/>
        <v>0</v>
      </c>
      <c r="H584" s="70"/>
      <c r="I584" s="72">
        <f t="shared" si="2631"/>
        <v>0</v>
      </c>
      <c r="J584" s="72">
        <f t="shared" si="2632"/>
        <v>0</v>
      </c>
      <c r="K584" s="94">
        <v>8010</v>
      </c>
      <c r="L584" s="75"/>
      <c r="M584" s="81"/>
      <c r="N584" s="88"/>
      <c r="O584" s="77">
        <f t="shared" ref="O584:Q584" si="2801">AA584+AD584+AG584+AJ584+AM584+AP584+AS584+AV584+AY584+BB584+BE584+BH584</f>
        <v>8010</v>
      </c>
      <c r="P584" s="77">
        <f t="shared" si="2801"/>
        <v>0</v>
      </c>
      <c r="Q584" s="77">
        <f t="shared" si="2801"/>
        <v>0</v>
      </c>
      <c r="R584" s="77">
        <f t="shared" ref="R584:T584" si="2802">IF(BK584=0,SUM(AA584+AD584+AG584+AJ584+AM584+AP584+AS584+AV584+AY584+BB584+BE584+BH584),BK584)</f>
        <v>8010</v>
      </c>
      <c r="S584" s="77">
        <f t="shared" si="2802"/>
        <v>0</v>
      </c>
      <c r="T584" s="77">
        <f t="shared" si="2802"/>
        <v>0</v>
      </c>
      <c r="U584" s="78">
        <f t="shared" si="2784"/>
        <v>0</v>
      </c>
      <c r="V584" s="79">
        <f t="shared" si="2785"/>
        <v>0</v>
      </c>
      <c r="W584" s="79">
        <f t="shared" si="2786"/>
        <v>0</v>
      </c>
      <c r="X584" s="80">
        <f t="shared" ref="X584:Y584" si="2803">IF(O584&gt;0,O584/K584,0)</f>
        <v>1</v>
      </c>
      <c r="Y584" s="80">
        <f t="shared" si="2803"/>
        <v>0</v>
      </c>
      <c r="Z584" s="80">
        <f t="shared" si="2391"/>
        <v>0</v>
      </c>
      <c r="AA584" s="81"/>
      <c r="AB584" s="81"/>
      <c r="AC584" s="81"/>
      <c r="AD584" s="81"/>
      <c r="AE584" s="83"/>
      <c r="AF584" s="83"/>
      <c r="AG584" s="83"/>
      <c r="AH584" s="83"/>
      <c r="AI584" s="81"/>
      <c r="AJ584" s="81"/>
      <c r="AK584" s="81"/>
      <c r="AL584" s="81"/>
      <c r="AM584" s="82"/>
      <c r="AN584" s="81"/>
      <c r="AO584" s="81"/>
      <c r="AP584" s="82"/>
      <c r="AQ584" s="81"/>
      <c r="AR584" s="81"/>
      <c r="AS584" s="81"/>
      <c r="AT584" s="81"/>
      <c r="AU584" s="81"/>
      <c r="AV584" s="81"/>
      <c r="AW584" s="81"/>
      <c r="AX584" s="81"/>
      <c r="AY584" s="82">
        <v>8010</v>
      </c>
      <c r="AZ584" s="81"/>
      <c r="BA584" s="81"/>
      <c r="BB584" s="81"/>
      <c r="BC584" s="81"/>
      <c r="BD584" s="81"/>
      <c r="BE584" s="81"/>
      <c r="BF584" s="81"/>
      <c r="BG584" s="81"/>
      <c r="BH584" s="81"/>
      <c r="BI584" s="81"/>
      <c r="BJ584" s="81"/>
      <c r="BK584" s="82">
        <v>8010</v>
      </c>
      <c r="BL584" s="82">
        <v>0</v>
      </c>
      <c r="BM584" s="82">
        <v>0</v>
      </c>
      <c r="BN584" s="81">
        <f t="shared" si="2788"/>
        <v>0</v>
      </c>
      <c r="BO584" s="75">
        <f t="shared" si="2789"/>
        <v>0</v>
      </c>
      <c r="BP584" s="81">
        <f t="shared" si="2790"/>
        <v>0</v>
      </c>
      <c r="BQ584" s="81">
        <f t="shared" si="2791"/>
        <v>0</v>
      </c>
      <c r="BR584" s="81">
        <f t="shared" si="2792"/>
        <v>0</v>
      </c>
      <c r="BS584" s="81">
        <f t="shared" si="2793"/>
        <v>0</v>
      </c>
      <c r="BT584" s="81">
        <f t="shared" si="2794"/>
        <v>0</v>
      </c>
      <c r="BU584" s="81">
        <f t="shared" si="2795"/>
        <v>0</v>
      </c>
      <c r="BV584" s="81">
        <f t="shared" si="2796"/>
        <v>0</v>
      </c>
      <c r="BW584" s="81">
        <f t="shared" si="2797"/>
        <v>0</v>
      </c>
      <c r="BX584" s="1"/>
      <c r="BY584" s="1"/>
      <c r="BZ584" s="1"/>
      <c r="CA584" s="1"/>
      <c r="CB584" s="1"/>
      <c r="CC584" s="1"/>
      <c r="CD584" s="1"/>
      <c r="CE584" s="1"/>
      <c r="CF584" s="1"/>
      <c r="CG584" s="1"/>
    </row>
    <row r="585" spans="1:85" ht="15.75" customHeight="1">
      <c r="A585" s="125" t="s">
        <v>886</v>
      </c>
      <c r="B585" s="115"/>
      <c r="C585" s="86" t="s">
        <v>887</v>
      </c>
      <c r="D585" s="135" t="s">
        <v>888</v>
      </c>
      <c r="E585" s="163">
        <v>100000</v>
      </c>
      <c r="F585" s="164">
        <v>0</v>
      </c>
      <c r="G585" s="71">
        <f t="shared" si="2781"/>
        <v>100000</v>
      </c>
      <c r="H585" s="70"/>
      <c r="I585" s="72">
        <f t="shared" si="2631"/>
        <v>9.9747999999999989E-2</v>
      </c>
      <c r="J585" s="72">
        <f t="shared" si="2632"/>
        <v>9.9747999999999989E-2</v>
      </c>
      <c r="K585" s="94">
        <v>9974.7999999999993</v>
      </c>
      <c r="L585" s="75"/>
      <c r="M585" s="81"/>
      <c r="N585" s="88"/>
      <c r="O585" s="77">
        <f t="shared" ref="O585:Q585" si="2804">AA585+AD585+AG585+AJ585+AM585+AP585+AS585+AV585+AY585+BB585+BE585+BH585</f>
        <v>9974.7999999999993</v>
      </c>
      <c r="P585" s="77">
        <f t="shared" si="2804"/>
        <v>0</v>
      </c>
      <c r="Q585" s="77">
        <f t="shared" si="2804"/>
        <v>0</v>
      </c>
      <c r="R585" s="77">
        <f t="shared" ref="R585:T585" si="2805">IF(BK585=0,SUM(AA585+AD585+AG585+AJ585+AM585+AP585+AS585+AV585+AY585+BB585+BE585+BH585),BK585)</f>
        <v>9974.7999999999993</v>
      </c>
      <c r="S585" s="77">
        <f t="shared" si="2805"/>
        <v>0</v>
      </c>
      <c r="T585" s="77">
        <f t="shared" si="2805"/>
        <v>0</v>
      </c>
      <c r="U585" s="79">
        <f t="shared" si="2784"/>
        <v>0</v>
      </c>
      <c r="V585" s="79">
        <f t="shared" si="2785"/>
        <v>0</v>
      </c>
      <c r="W585" s="79">
        <f t="shared" si="2786"/>
        <v>0</v>
      </c>
      <c r="X585" s="80">
        <f t="shared" ref="X585:Y585" si="2806">IF(O585&gt;0,O585/K585,0)</f>
        <v>1</v>
      </c>
      <c r="Y585" s="80">
        <f t="shared" si="2806"/>
        <v>0</v>
      </c>
      <c r="Z585" s="80">
        <f t="shared" si="2391"/>
        <v>0</v>
      </c>
      <c r="AA585" s="81"/>
      <c r="AB585" s="81"/>
      <c r="AC585" s="81"/>
      <c r="AD585" s="81"/>
      <c r="AE585" s="83"/>
      <c r="AF585" s="83"/>
      <c r="AG585" s="83"/>
      <c r="AH585" s="83"/>
      <c r="AI585" s="81"/>
      <c r="AJ585" s="81"/>
      <c r="AK585" s="81"/>
      <c r="AL585" s="81"/>
      <c r="AM585" s="82">
        <v>4980</v>
      </c>
      <c r="AN585" s="81"/>
      <c r="AO585" s="81"/>
      <c r="AP585" s="82">
        <v>4994.8</v>
      </c>
      <c r="AQ585" s="81"/>
      <c r="AR585" s="81"/>
      <c r="AS585" s="81"/>
      <c r="AT585" s="81"/>
      <c r="AU585" s="81"/>
      <c r="AV585" s="81"/>
      <c r="AW585" s="81"/>
      <c r="AX585" s="81"/>
      <c r="AY585" s="81"/>
      <c r="AZ585" s="81"/>
      <c r="BA585" s="81"/>
      <c r="BB585" s="81"/>
      <c r="BC585" s="81"/>
      <c r="BD585" s="81"/>
      <c r="BE585" s="81"/>
      <c r="BF585" s="81"/>
      <c r="BG585" s="81"/>
      <c r="BH585" s="81"/>
      <c r="BI585" s="81"/>
      <c r="BJ585" s="81"/>
      <c r="BK585" s="82">
        <v>9974.7999999999993</v>
      </c>
      <c r="BL585" s="82">
        <v>0</v>
      </c>
      <c r="BM585" s="82">
        <v>0</v>
      </c>
      <c r="BN585" s="81">
        <f t="shared" si="2788"/>
        <v>0</v>
      </c>
      <c r="BO585" s="75">
        <f t="shared" si="2789"/>
        <v>0</v>
      </c>
      <c r="BP585" s="81">
        <f t="shared" si="2790"/>
        <v>0</v>
      </c>
      <c r="BQ585" s="81">
        <f t="shared" si="2791"/>
        <v>0</v>
      </c>
      <c r="BR585" s="81">
        <f t="shared" si="2792"/>
        <v>0</v>
      </c>
      <c r="BS585" s="81">
        <f t="shared" si="2793"/>
        <v>0</v>
      </c>
      <c r="BT585" s="81">
        <f t="shared" si="2794"/>
        <v>0</v>
      </c>
      <c r="BU585" s="81">
        <f t="shared" si="2795"/>
        <v>0</v>
      </c>
      <c r="BV585" s="81">
        <f t="shared" si="2796"/>
        <v>0</v>
      </c>
      <c r="BW585" s="81">
        <f t="shared" si="2797"/>
        <v>0</v>
      </c>
      <c r="BX585" s="1"/>
      <c r="BY585" s="1"/>
      <c r="BZ585" s="1"/>
      <c r="CA585" s="1"/>
      <c r="CB585" s="1"/>
      <c r="CC585" s="1"/>
      <c r="CD585" s="1"/>
      <c r="CE585" s="1"/>
      <c r="CF585" s="1"/>
      <c r="CG585" s="1"/>
    </row>
    <row r="586" spans="1:85" ht="15.75" customHeight="1">
      <c r="A586" s="134" t="s">
        <v>889</v>
      </c>
      <c r="B586" s="132" t="s">
        <v>890</v>
      </c>
      <c r="C586" s="86" t="s">
        <v>887</v>
      </c>
      <c r="D586" s="135" t="s">
        <v>891</v>
      </c>
      <c r="E586" s="163"/>
      <c r="F586" s="164"/>
      <c r="G586" s="71">
        <f t="shared" si="2781"/>
        <v>0</v>
      </c>
      <c r="H586" s="70"/>
      <c r="I586" s="72">
        <f t="shared" si="2631"/>
        <v>0</v>
      </c>
      <c r="J586" s="72">
        <f t="shared" si="2632"/>
        <v>0</v>
      </c>
      <c r="K586" s="94">
        <f>952-952</f>
        <v>0</v>
      </c>
      <c r="L586" s="75">
        <v>4199.2</v>
      </c>
      <c r="M586" s="81"/>
      <c r="N586" s="88"/>
      <c r="O586" s="77">
        <f t="shared" ref="O586:Q586" si="2807">AA586+AD586+AG586+AJ586+AM586+AP586+AS586+AV586+AY586+BB586+BE586+BH586</f>
        <v>0</v>
      </c>
      <c r="P586" s="77">
        <f t="shared" si="2807"/>
        <v>4199.2</v>
      </c>
      <c r="Q586" s="77">
        <f t="shared" si="2807"/>
        <v>0</v>
      </c>
      <c r="R586" s="77">
        <f t="shared" ref="R586:T586" si="2808">IF(BK586=0,SUM(AA586+AD586+AG586+AJ586+AM586+AP586+AS586+AV586+AY586+BB586+BE586+BH586),BK586)</f>
        <v>0</v>
      </c>
      <c r="S586" s="77">
        <f t="shared" si="2808"/>
        <v>4199.2</v>
      </c>
      <c r="T586" s="77">
        <f t="shared" si="2808"/>
        <v>0</v>
      </c>
      <c r="U586" s="79">
        <f t="shared" si="2784"/>
        <v>0</v>
      </c>
      <c r="V586" s="79">
        <f t="shared" si="2785"/>
        <v>0</v>
      </c>
      <c r="W586" s="79">
        <f t="shared" si="2786"/>
        <v>0</v>
      </c>
      <c r="X586" s="80">
        <f t="shared" ref="X586:Y586" si="2809">IF(O586&gt;0,O586/K586,0)</f>
        <v>0</v>
      </c>
      <c r="Y586" s="80">
        <f t="shared" si="2809"/>
        <v>1</v>
      </c>
      <c r="Z586" s="80">
        <f t="shared" si="2391"/>
        <v>0</v>
      </c>
      <c r="AA586" s="81"/>
      <c r="AB586" s="81"/>
      <c r="AC586" s="81"/>
      <c r="AD586" s="81"/>
      <c r="AE586" s="128">
        <v>4199.2</v>
      </c>
      <c r="AF586" s="83"/>
      <c r="AG586" s="83"/>
      <c r="AH586" s="83"/>
      <c r="AI586" s="81"/>
      <c r="AJ586" s="81"/>
      <c r="AK586" s="81"/>
      <c r="AL586" s="81"/>
      <c r="AM586" s="81"/>
      <c r="AN586" s="81"/>
      <c r="AO586" s="81"/>
      <c r="AP586" s="81"/>
      <c r="AQ586" s="81"/>
      <c r="AR586" s="81"/>
      <c r="AS586" s="81"/>
      <c r="AT586" s="81"/>
      <c r="AU586" s="81"/>
      <c r="AV586" s="81"/>
      <c r="AW586" s="81"/>
      <c r="AX586" s="81"/>
      <c r="AY586" s="81"/>
      <c r="AZ586" s="81"/>
      <c r="BA586" s="81"/>
      <c r="BB586" s="81"/>
      <c r="BC586" s="81"/>
      <c r="BD586" s="81"/>
      <c r="BE586" s="81"/>
      <c r="BF586" s="81"/>
      <c r="BG586" s="81"/>
      <c r="BH586" s="81"/>
      <c r="BI586" s="81"/>
      <c r="BJ586" s="81"/>
      <c r="BK586" s="82">
        <v>0</v>
      </c>
      <c r="BL586" s="82">
        <v>4199.2</v>
      </c>
      <c r="BM586" s="82">
        <v>0</v>
      </c>
      <c r="BN586" s="81">
        <f t="shared" si="2788"/>
        <v>0</v>
      </c>
      <c r="BO586" s="75">
        <f t="shared" si="2789"/>
        <v>0</v>
      </c>
      <c r="BP586" s="81">
        <f t="shared" si="2790"/>
        <v>0</v>
      </c>
      <c r="BQ586" s="81">
        <f t="shared" si="2791"/>
        <v>0</v>
      </c>
      <c r="BR586" s="81">
        <f t="shared" si="2792"/>
        <v>0</v>
      </c>
      <c r="BS586" s="81">
        <f t="shared" si="2793"/>
        <v>0</v>
      </c>
      <c r="BT586" s="81">
        <f t="shared" si="2794"/>
        <v>0</v>
      </c>
      <c r="BU586" s="81">
        <f t="shared" si="2795"/>
        <v>0</v>
      </c>
      <c r="BV586" s="81">
        <f t="shared" si="2796"/>
        <v>0</v>
      </c>
      <c r="BW586" s="81">
        <f t="shared" si="2797"/>
        <v>0</v>
      </c>
      <c r="BX586" s="1"/>
      <c r="BY586" s="1"/>
      <c r="BZ586" s="1"/>
      <c r="CA586" s="1"/>
      <c r="CB586" s="1"/>
      <c r="CC586" s="1"/>
      <c r="CD586" s="1"/>
      <c r="CE586" s="1"/>
      <c r="CF586" s="1"/>
      <c r="CG586" s="1"/>
    </row>
    <row r="587" spans="1:85" ht="15.75" customHeight="1">
      <c r="A587" s="406" t="s">
        <v>892</v>
      </c>
      <c r="B587" s="85" t="s">
        <v>893</v>
      </c>
      <c r="C587" s="86" t="s">
        <v>887</v>
      </c>
      <c r="D587" s="135" t="s">
        <v>894</v>
      </c>
      <c r="E587" s="163"/>
      <c r="F587" s="164"/>
      <c r="G587" s="71">
        <f t="shared" si="2781"/>
        <v>0</v>
      </c>
      <c r="H587" s="70"/>
      <c r="I587" s="72">
        <f t="shared" si="2631"/>
        <v>0</v>
      </c>
      <c r="J587" s="72">
        <f t="shared" si="2632"/>
        <v>0</v>
      </c>
      <c r="K587" s="94">
        <v>2960</v>
      </c>
      <c r="L587" s="75">
        <v>45612</v>
      </c>
      <c r="M587" s="81"/>
      <c r="N587" s="88"/>
      <c r="O587" s="77">
        <f t="shared" ref="O587:Q587" si="2810">AA587+AD587+AG587+AJ587+AM587+AP587+AS587+AV587+AY587+BB587+BE587+BH587</f>
        <v>2960</v>
      </c>
      <c r="P587" s="77">
        <f t="shared" si="2810"/>
        <v>45612</v>
      </c>
      <c r="Q587" s="77">
        <f t="shared" si="2810"/>
        <v>0</v>
      </c>
      <c r="R587" s="77">
        <f t="shared" ref="R587:T587" si="2811">IF(BK587=0,SUM(AA587+AD587+AG587+AJ587+AM587+AP587+AS587+AV587+AY587+BB587+BE587+BH587),BK587)</f>
        <v>2960</v>
      </c>
      <c r="S587" s="77">
        <f t="shared" si="2811"/>
        <v>45612</v>
      </c>
      <c r="T587" s="77">
        <f t="shared" si="2811"/>
        <v>0</v>
      </c>
      <c r="U587" s="79">
        <f t="shared" si="2784"/>
        <v>0</v>
      </c>
      <c r="V587" s="79">
        <f t="shared" si="2785"/>
        <v>0</v>
      </c>
      <c r="W587" s="79">
        <f t="shared" si="2786"/>
        <v>0</v>
      </c>
      <c r="X587" s="80">
        <f t="shared" ref="X587:Y587" si="2812">IF(O587&gt;0,O587/K587,0)</f>
        <v>1</v>
      </c>
      <c r="Y587" s="80">
        <f t="shared" si="2812"/>
        <v>1</v>
      </c>
      <c r="Z587" s="80">
        <f t="shared" si="2391"/>
        <v>0</v>
      </c>
      <c r="AA587" s="81"/>
      <c r="AB587" s="82">
        <v>15928</v>
      </c>
      <c r="AC587" s="81"/>
      <c r="AD587" s="81"/>
      <c r="AE587" s="83"/>
      <c r="AF587" s="83"/>
      <c r="AG587" s="128">
        <f>1480+1480</f>
        <v>2960</v>
      </c>
      <c r="AH587" s="82">
        <v>29684</v>
      </c>
      <c r="AI587" s="82"/>
      <c r="AJ587" s="81"/>
      <c r="AK587" s="81"/>
      <c r="AL587" s="81"/>
      <c r="AM587" s="81"/>
      <c r="AN587" s="81"/>
      <c r="AO587" s="81"/>
      <c r="AP587" s="81"/>
      <c r="AQ587" s="81"/>
      <c r="AR587" s="81"/>
      <c r="AS587" s="81"/>
      <c r="AT587" s="81"/>
      <c r="AU587" s="81"/>
      <c r="AV587" s="81"/>
      <c r="AW587" s="81"/>
      <c r="AX587" s="81"/>
      <c r="AY587" s="81"/>
      <c r="AZ587" s="81"/>
      <c r="BA587" s="81"/>
      <c r="BB587" s="81"/>
      <c r="BC587" s="81"/>
      <c r="BD587" s="81"/>
      <c r="BE587" s="81"/>
      <c r="BF587" s="81"/>
      <c r="BG587" s="81"/>
      <c r="BH587" s="81"/>
      <c r="BI587" s="81"/>
      <c r="BJ587" s="81"/>
      <c r="BK587" s="82">
        <v>2960</v>
      </c>
      <c r="BL587" s="82">
        <v>45612</v>
      </c>
      <c r="BM587" s="82">
        <v>0</v>
      </c>
      <c r="BN587" s="81">
        <f t="shared" si="2788"/>
        <v>0</v>
      </c>
      <c r="BO587" s="75">
        <f t="shared" si="2789"/>
        <v>0</v>
      </c>
      <c r="BP587" s="81">
        <f t="shared" si="2790"/>
        <v>0</v>
      </c>
      <c r="BQ587" s="81">
        <f t="shared" si="2791"/>
        <v>0</v>
      </c>
      <c r="BR587" s="81">
        <f t="shared" si="2792"/>
        <v>0</v>
      </c>
      <c r="BS587" s="81">
        <f t="shared" si="2793"/>
        <v>0</v>
      </c>
      <c r="BT587" s="81">
        <f t="shared" si="2794"/>
        <v>0</v>
      </c>
      <c r="BU587" s="81">
        <f t="shared" si="2795"/>
        <v>0</v>
      </c>
      <c r="BV587" s="81">
        <f t="shared" si="2796"/>
        <v>0</v>
      </c>
      <c r="BW587" s="81">
        <f t="shared" si="2797"/>
        <v>0</v>
      </c>
      <c r="BX587" s="1"/>
      <c r="BY587" s="1"/>
      <c r="BZ587" s="1"/>
      <c r="CA587" s="1"/>
      <c r="CB587" s="1"/>
      <c r="CC587" s="1"/>
      <c r="CD587" s="1"/>
      <c r="CE587" s="1"/>
      <c r="CF587" s="1"/>
      <c r="CG587" s="1"/>
    </row>
    <row r="588" spans="1:85" ht="15.75" customHeight="1">
      <c r="A588" s="134" t="s">
        <v>895</v>
      </c>
      <c r="B588" s="85"/>
      <c r="C588" s="86" t="s">
        <v>887</v>
      </c>
      <c r="D588" s="135" t="s">
        <v>894</v>
      </c>
      <c r="E588" s="163"/>
      <c r="F588" s="164"/>
      <c r="G588" s="71">
        <f t="shared" si="2781"/>
        <v>0</v>
      </c>
      <c r="H588" s="70"/>
      <c r="I588" s="72">
        <f t="shared" si="2631"/>
        <v>0</v>
      </c>
      <c r="J588" s="72">
        <f t="shared" si="2632"/>
        <v>0</v>
      </c>
      <c r="K588" s="94">
        <v>2220</v>
      </c>
      <c r="L588" s="75"/>
      <c r="M588" s="81"/>
      <c r="N588" s="88"/>
      <c r="O588" s="77">
        <f t="shared" ref="O588:Q588" si="2813">AA588+AD588+AG588+AJ588+AM588+AP588+AS588+AV588+AY588+BB588+BE588+BH588</f>
        <v>2220</v>
      </c>
      <c r="P588" s="77">
        <f t="shared" si="2813"/>
        <v>0</v>
      </c>
      <c r="Q588" s="77">
        <f t="shared" si="2813"/>
        <v>0</v>
      </c>
      <c r="R588" s="77">
        <f t="shared" ref="R588:T588" si="2814">IF(BK588=0,SUM(AA588+AD588+AG588+AJ588+AM588+AP588+AS588+AV588+AY588+BB588+BE588+BH588),BK588)</f>
        <v>2220</v>
      </c>
      <c r="S588" s="77">
        <f t="shared" si="2814"/>
        <v>0</v>
      </c>
      <c r="T588" s="77">
        <f t="shared" si="2814"/>
        <v>0</v>
      </c>
      <c r="U588" s="79">
        <f t="shared" si="2784"/>
        <v>0</v>
      </c>
      <c r="V588" s="79">
        <f t="shared" si="2785"/>
        <v>0</v>
      </c>
      <c r="W588" s="79">
        <f t="shared" si="2786"/>
        <v>0</v>
      </c>
      <c r="X588" s="80">
        <f t="shared" ref="X588:Y588" si="2815">IF(O588&gt;0,O588/K588,0)</f>
        <v>1</v>
      </c>
      <c r="Y588" s="80">
        <f t="shared" si="2815"/>
        <v>0</v>
      </c>
      <c r="Z588" s="80">
        <f t="shared" si="2391"/>
        <v>0</v>
      </c>
      <c r="AA588" s="81"/>
      <c r="AB588" s="82"/>
      <c r="AC588" s="81"/>
      <c r="AD588" s="81"/>
      <c r="AE588" s="83"/>
      <c r="AF588" s="83"/>
      <c r="AG588" s="128">
        <v>2220</v>
      </c>
      <c r="AH588" s="83"/>
      <c r="AI588" s="81"/>
      <c r="AJ588" s="81"/>
      <c r="AK588" s="81"/>
      <c r="AL588" s="81"/>
      <c r="AM588" s="81"/>
      <c r="AN588" s="81"/>
      <c r="AO588" s="81"/>
      <c r="AP588" s="81"/>
      <c r="AQ588" s="81"/>
      <c r="AR588" s="81"/>
      <c r="AS588" s="81"/>
      <c r="AT588" s="81"/>
      <c r="AU588" s="81"/>
      <c r="AV588" s="81"/>
      <c r="AW588" s="81"/>
      <c r="AX588" s="81"/>
      <c r="AY588" s="81"/>
      <c r="AZ588" s="81"/>
      <c r="BA588" s="81"/>
      <c r="BB588" s="81"/>
      <c r="BC588" s="81"/>
      <c r="BD588" s="81"/>
      <c r="BE588" s="81"/>
      <c r="BF588" s="81"/>
      <c r="BG588" s="81"/>
      <c r="BH588" s="81"/>
      <c r="BI588" s="81"/>
      <c r="BJ588" s="81"/>
      <c r="BK588" s="82">
        <v>2220</v>
      </c>
      <c r="BL588" s="82">
        <v>0</v>
      </c>
      <c r="BM588" s="82">
        <v>0</v>
      </c>
      <c r="BN588" s="81">
        <f t="shared" si="2788"/>
        <v>0</v>
      </c>
      <c r="BO588" s="75">
        <f t="shared" si="2789"/>
        <v>0</v>
      </c>
      <c r="BP588" s="81">
        <f t="shared" si="2790"/>
        <v>0</v>
      </c>
      <c r="BQ588" s="81">
        <f t="shared" si="2791"/>
        <v>0</v>
      </c>
      <c r="BR588" s="81">
        <f t="shared" si="2792"/>
        <v>0</v>
      </c>
      <c r="BS588" s="81">
        <f t="shared" si="2793"/>
        <v>0</v>
      </c>
      <c r="BT588" s="81">
        <f t="shared" si="2794"/>
        <v>0</v>
      </c>
      <c r="BU588" s="81">
        <f t="shared" si="2795"/>
        <v>0</v>
      </c>
      <c r="BV588" s="81">
        <f t="shared" si="2796"/>
        <v>0</v>
      </c>
      <c r="BW588" s="81">
        <f t="shared" si="2797"/>
        <v>0</v>
      </c>
      <c r="BX588" s="1"/>
      <c r="BY588" s="1"/>
      <c r="BZ588" s="1"/>
      <c r="CA588" s="1"/>
      <c r="CB588" s="1"/>
      <c r="CC588" s="1"/>
      <c r="CD588" s="1"/>
      <c r="CE588" s="1"/>
      <c r="CF588" s="1"/>
      <c r="CG588" s="1"/>
    </row>
    <row r="589" spans="1:85" ht="15.75" customHeight="1">
      <c r="A589" s="134" t="s">
        <v>896</v>
      </c>
      <c r="B589" s="132" t="s">
        <v>897</v>
      </c>
      <c r="C589" s="86" t="s">
        <v>887</v>
      </c>
      <c r="D589" s="135" t="s">
        <v>898</v>
      </c>
      <c r="E589" s="163"/>
      <c r="F589" s="164"/>
      <c r="G589" s="71">
        <f t="shared" si="2781"/>
        <v>0</v>
      </c>
      <c r="H589" s="70"/>
      <c r="I589" s="72">
        <f t="shared" si="2631"/>
        <v>0</v>
      </c>
      <c r="J589" s="72">
        <f t="shared" si="2632"/>
        <v>0</v>
      </c>
      <c r="K589" s="94">
        <v>1848</v>
      </c>
      <c r="L589" s="75">
        <v>10096.6</v>
      </c>
      <c r="M589" s="81"/>
      <c r="N589" s="88"/>
      <c r="O589" s="77">
        <f t="shared" ref="O589:Q589" si="2816">AA589+AD589+AG589+AJ589+AM589+AP589+AS589+AV589+AY589+BB589+BE589+BH589</f>
        <v>1848</v>
      </c>
      <c r="P589" s="77">
        <f t="shared" si="2816"/>
        <v>10096.6</v>
      </c>
      <c r="Q589" s="77">
        <f t="shared" si="2816"/>
        <v>0</v>
      </c>
      <c r="R589" s="77">
        <f t="shared" ref="R589:T589" si="2817">IF(BK589=0,SUM(AA589+AD589+AG589+AJ589+AM589+AP589+AS589+AV589+AY589+BB589+BE589+BH589),BK589)</f>
        <v>1848</v>
      </c>
      <c r="S589" s="77">
        <f t="shared" si="2817"/>
        <v>10096.6</v>
      </c>
      <c r="T589" s="77">
        <f t="shared" si="2817"/>
        <v>0</v>
      </c>
      <c r="U589" s="79">
        <f t="shared" si="2784"/>
        <v>0</v>
      </c>
      <c r="V589" s="79">
        <f t="shared" si="2785"/>
        <v>0</v>
      </c>
      <c r="W589" s="79">
        <f t="shared" si="2786"/>
        <v>0</v>
      </c>
      <c r="X589" s="80">
        <f t="shared" ref="X589:Y589" si="2818">IF(O589&gt;0,O589/K589,0)</f>
        <v>1</v>
      </c>
      <c r="Y589" s="80">
        <f t="shared" si="2818"/>
        <v>1</v>
      </c>
      <c r="Z589" s="80">
        <f t="shared" si="2391"/>
        <v>0</v>
      </c>
      <c r="AA589" s="81"/>
      <c r="AB589" s="82">
        <v>10096.6</v>
      </c>
      <c r="AC589" s="81"/>
      <c r="AD589" s="81"/>
      <c r="AE589" s="83"/>
      <c r="AF589" s="83"/>
      <c r="AG589" s="407">
        <f>1848</f>
        <v>1848</v>
      </c>
      <c r="AH589" s="83"/>
      <c r="AI589" s="81"/>
      <c r="AJ589" s="81"/>
      <c r="AK589" s="81"/>
      <c r="AL589" s="81"/>
      <c r="AM589" s="81"/>
      <c r="AN589" s="81"/>
      <c r="AO589" s="81"/>
      <c r="AP589" s="81"/>
      <c r="AQ589" s="81"/>
      <c r="AR589" s="81"/>
      <c r="AS589" s="81"/>
      <c r="AT589" s="81"/>
      <c r="AU589" s="81"/>
      <c r="AV589" s="81"/>
      <c r="AW589" s="81"/>
      <c r="AX589" s="81"/>
      <c r="AY589" s="81"/>
      <c r="AZ589" s="81"/>
      <c r="BA589" s="81"/>
      <c r="BB589" s="81"/>
      <c r="BC589" s="81"/>
      <c r="BD589" s="81"/>
      <c r="BE589" s="81"/>
      <c r="BF589" s="81"/>
      <c r="BG589" s="81"/>
      <c r="BH589" s="81"/>
      <c r="BI589" s="81"/>
      <c r="BJ589" s="81"/>
      <c r="BK589" s="82">
        <v>1848</v>
      </c>
      <c r="BL589" s="82">
        <v>10096.6</v>
      </c>
      <c r="BM589" s="82">
        <v>0</v>
      </c>
      <c r="BN589" s="81">
        <f t="shared" si="2788"/>
        <v>0</v>
      </c>
      <c r="BO589" s="75">
        <f t="shared" si="2789"/>
        <v>0</v>
      </c>
      <c r="BP589" s="81">
        <f t="shared" si="2790"/>
        <v>0</v>
      </c>
      <c r="BQ589" s="81">
        <f t="shared" si="2791"/>
        <v>0</v>
      </c>
      <c r="BR589" s="81">
        <f t="shared" si="2792"/>
        <v>0</v>
      </c>
      <c r="BS589" s="81">
        <f t="shared" si="2793"/>
        <v>0</v>
      </c>
      <c r="BT589" s="81">
        <f t="shared" si="2794"/>
        <v>0</v>
      </c>
      <c r="BU589" s="81">
        <f t="shared" si="2795"/>
        <v>0</v>
      </c>
      <c r="BV589" s="81">
        <f t="shared" si="2796"/>
        <v>0</v>
      </c>
      <c r="BW589" s="81">
        <f t="shared" si="2797"/>
        <v>0</v>
      </c>
      <c r="BX589" s="1"/>
      <c r="BY589" s="1"/>
      <c r="BZ589" s="1"/>
      <c r="CA589" s="1"/>
      <c r="CB589" s="1"/>
      <c r="CC589" s="1"/>
      <c r="CD589" s="1"/>
      <c r="CE589" s="1"/>
      <c r="CF589" s="1"/>
      <c r="CG589" s="1"/>
    </row>
    <row r="590" spans="1:85" ht="15.75" customHeight="1">
      <c r="A590" s="134" t="s">
        <v>899</v>
      </c>
      <c r="B590" s="146" t="s">
        <v>900</v>
      </c>
      <c r="C590" s="86" t="s">
        <v>887</v>
      </c>
      <c r="D590" s="292" t="s">
        <v>901</v>
      </c>
      <c r="E590" s="163"/>
      <c r="F590" s="164"/>
      <c r="G590" s="71">
        <f t="shared" si="2781"/>
        <v>0</v>
      </c>
      <c r="H590" s="70"/>
      <c r="I590" s="72">
        <f t="shared" si="2631"/>
        <v>0</v>
      </c>
      <c r="J590" s="72">
        <f t="shared" si="2632"/>
        <v>0</v>
      </c>
      <c r="K590" s="94">
        <f>676.32-0.12</f>
        <v>676.2</v>
      </c>
      <c r="L590" s="75">
        <v>7280</v>
      </c>
      <c r="M590" s="82"/>
      <c r="N590" s="88"/>
      <c r="O590" s="77">
        <f t="shared" ref="O590:Q590" si="2819">AA590+AD590+AG590+AJ590+AM590+AP590+AS590+AV590+AY590+BB590+BE590+BH590</f>
        <v>676.2</v>
      </c>
      <c r="P590" s="77">
        <f t="shared" si="2819"/>
        <v>7280</v>
      </c>
      <c r="Q590" s="77">
        <f t="shared" si="2819"/>
        <v>0</v>
      </c>
      <c r="R590" s="77">
        <f t="shared" ref="R590:T590" si="2820">IF(BK590=0,SUM(AA590+AD590+AG590+AJ590+AM590+AP590+AS590+AV590+AY590+BB590+BE590+BH590),BK590)</f>
        <v>676.2</v>
      </c>
      <c r="S590" s="77">
        <f t="shared" si="2820"/>
        <v>7280</v>
      </c>
      <c r="T590" s="77">
        <f t="shared" si="2820"/>
        <v>0</v>
      </c>
      <c r="U590" s="79">
        <f t="shared" si="2784"/>
        <v>0</v>
      </c>
      <c r="V590" s="79">
        <f t="shared" si="2785"/>
        <v>0</v>
      </c>
      <c r="W590" s="79">
        <f t="shared" si="2786"/>
        <v>0</v>
      </c>
      <c r="X590" s="80">
        <f t="shared" ref="X590:Y590" si="2821">IF(O590&gt;0,O590/K590,0)</f>
        <v>1</v>
      </c>
      <c r="Y590" s="80">
        <f t="shared" si="2821"/>
        <v>1</v>
      </c>
      <c r="Z590" s="80">
        <f t="shared" si="2391"/>
        <v>0</v>
      </c>
      <c r="AA590" s="81"/>
      <c r="AB590" s="82">
        <v>7280</v>
      </c>
      <c r="AC590" s="81"/>
      <c r="AD590" s="81"/>
      <c r="AE590" s="83"/>
      <c r="AF590" s="83"/>
      <c r="AG590" s="83"/>
      <c r="AH590" s="83"/>
      <c r="AI590" s="81"/>
      <c r="AJ590" s="82">
        <v>676.2</v>
      </c>
      <c r="AK590" s="81"/>
      <c r="AL590" s="81"/>
      <c r="AM590" s="81"/>
      <c r="AN590" s="81"/>
      <c r="AO590" s="81"/>
      <c r="AP590" s="81"/>
      <c r="AQ590" s="81"/>
      <c r="AR590" s="81"/>
      <c r="AS590" s="81"/>
      <c r="AT590" s="81"/>
      <c r="AU590" s="81"/>
      <c r="AV590" s="81"/>
      <c r="AW590" s="81"/>
      <c r="AX590" s="81"/>
      <c r="AY590" s="81"/>
      <c r="AZ590" s="81"/>
      <c r="BA590" s="81"/>
      <c r="BB590" s="81"/>
      <c r="BC590" s="81"/>
      <c r="BD590" s="81"/>
      <c r="BE590" s="81"/>
      <c r="BF590" s="81"/>
      <c r="BG590" s="81"/>
      <c r="BH590" s="81"/>
      <c r="BI590" s="81"/>
      <c r="BJ590" s="81"/>
      <c r="BK590" s="82">
        <v>676.2</v>
      </c>
      <c r="BL590" s="82">
        <v>7280</v>
      </c>
      <c r="BM590" s="82">
        <v>0</v>
      </c>
      <c r="BN590" s="81">
        <f t="shared" si="2788"/>
        <v>0</v>
      </c>
      <c r="BO590" s="75">
        <f t="shared" si="2789"/>
        <v>0</v>
      </c>
      <c r="BP590" s="81">
        <f t="shared" si="2790"/>
        <v>0</v>
      </c>
      <c r="BQ590" s="81">
        <f t="shared" si="2791"/>
        <v>0</v>
      </c>
      <c r="BR590" s="81">
        <f t="shared" si="2792"/>
        <v>0</v>
      </c>
      <c r="BS590" s="81">
        <f t="shared" si="2793"/>
        <v>0</v>
      </c>
      <c r="BT590" s="81">
        <f t="shared" si="2794"/>
        <v>0</v>
      </c>
      <c r="BU590" s="81">
        <f t="shared" si="2795"/>
        <v>0</v>
      </c>
      <c r="BV590" s="81">
        <f t="shared" si="2796"/>
        <v>0</v>
      </c>
      <c r="BW590" s="81">
        <f t="shared" si="2797"/>
        <v>0</v>
      </c>
      <c r="BX590" s="1"/>
      <c r="BY590" s="1"/>
      <c r="BZ590" s="1"/>
      <c r="CA590" s="1"/>
      <c r="CB590" s="1"/>
      <c r="CC590" s="1"/>
      <c r="CD590" s="1"/>
      <c r="CE590" s="1"/>
      <c r="CF590" s="1"/>
      <c r="CG590" s="1"/>
    </row>
    <row r="591" spans="1:85" ht="15.75" customHeight="1">
      <c r="A591" s="214" t="s">
        <v>902</v>
      </c>
      <c r="B591" s="146"/>
      <c r="C591" s="86" t="s">
        <v>887</v>
      </c>
      <c r="D591" s="292" t="s">
        <v>901</v>
      </c>
      <c r="E591" s="163"/>
      <c r="F591" s="164"/>
      <c r="G591" s="71">
        <f t="shared" si="2781"/>
        <v>0</v>
      </c>
      <c r="H591" s="70"/>
      <c r="I591" s="72">
        <f t="shared" si="2631"/>
        <v>0</v>
      </c>
      <c r="J591" s="72">
        <f t="shared" si="2632"/>
        <v>0</v>
      </c>
      <c r="K591" s="94">
        <v>1340</v>
      </c>
      <c r="L591" s="75"/>
      <c r="M591" s="81"/>
      <c r="N591" s="88"/>
      <c r="O591" s="77">
        <f t="shared" ref="O591:Q591" si="2822">AA591+AD591+AG591+AJ591+AM591+AP591+AS591+AV591+AY591+BB591+BE591+BH591</f>
        <v>1340</v>
      </c>
      <c r="P591" s="77">
        <f t="shared" si="2822"/>
        <v>0</v>
      </c>
      <c r="Q591" s="77">
        <f t="shared" si="2822"/>
        <v>0</v>
      </c>
      <c r="R591" s="77">
        <f t="shared" ref="R591:T591" si="2823">IF(BK591=0,SUM(AA591+AD591+AG591+AJ591+AM591+AP591+AS591+AV591+AY591+BB591+BE591+BH591),BK591)</f>
        <v>1340</v>
      </c>
      <c r="S591" s="77">
        <f t="shared" si="2823"/>
        <v>0</v>
      </c>
      <c r="T591" s="77">
        <f t="shared" si="2823"/>
        <v>0</v>
      </c>
      <c r="U591" s="79">
        <f t="shared" si="2784"/>
        <v>0</v>
      </c>
      <c r="V591" s="79">
        <f t="shared" si="2785"/>
        <v>0</v>
      </c>
      <c r="W591" s="79">
        <f t="shared" si="2786"/>
        <v>0</v>
      </c>
      <c r="X591" s="80">
        <f t="shared" ref="X591:Y591" si="2824">IF(O591&gt;0,O591/K591,0)</f>
        <v>1</v>
      </c>
      <c r="Y591" s="80">
        <f t="shared" si="2824"/>
        <v>0</v>
      </c>
      <c r="Z591" s="80">
        <f t="shared" si="2391"/>
        <v>0</v>
      </c>
      <c r="AA591" s="81"/>
      <c r="AB591" s="82"/>
      <c r="AC591" s="81"/>
      <c r="AD591" s="81"/>
      <c r="AE591" s="83"/>
      <c r="AF591" s="83"/>
      <c r="AG591" s="128"/>
      <c r="AH591" s="83"/>
      <c r="AI591" s="81"/>
      <c r="AJ591" s="82"/>
      <c r="AK591" s="81"/>
      <c r="AL591" s="81"/>
      <c r="AM591" s="81"/>
      <c r="AN591" s="81"/>
      <c r="AO591" s="81"/>
      <c r="AP591" s="81"/>
      <c r="AQ591" s="81"/>
      <c r="AR591" s="81"/>
      <c r="AS591" s="81"/>
      <c r="AT591" s="81"/>
      <c r="AU591" s="81"/>
      <c r="AV591" s="82">
        <v>1340</v>
      </c>
      <c r="AW591" s="81"/>
      <c r="AX591" s="81"/>
      <c r="AY591" s="81"/>
      <c r="AZ591" s="81"/>
      <c r="BA591" s="81"/>
      <c r="BB591" s="81"/>
      <c r="BC591" s="81"/>
      <c r="BD591" s="81"/>
      <c r="BE591" s="81"/>
      <c r="BF591" s="81"/>
      <c r="BG591" s="81"/>
      <c r="BH591" s="81"/>
      <c r="BI591" s="81"/>
      <c r="BJ591" s="81"/>
      <c r="BK591" s="82">
        <v>1340</v>
      </c>
      <c r="BL591" s="82">
        <v>0</v>
      </c>
      <c r="BM591" s="82">
        <v>0</v>
      </c>
      <c r="BN591" s="81">
        <f t="shared" si="2788"/>
        <v>0</v>
      </c>
      <c r="BO591" s="75">
        <f t="shared" si="2789"/>
        <v>0</v>
      </c>
      <c r="BP591" s="81">
        <f t="shared" si="2790"/>
        <v>0</v>
      </c>
      <c r="BQ591" s="81">
        <f t="shared" si="2791"/>
        <v>0</v>
      </c>
      <c r="BR591" s="81">
        <f t="shared" si="2792"/>
        <v>0</v>
      </c>
      <c r="BS591" s="81">
        <f t="shared" si="2793"/>
        <v>0</v>
      </c>
      <c r="BT591" s="81">
        <f t="shared" si="2794"/>
        <v>0</v>
      </c>
      <c r="BU591" s="81">
        <f t="shared" si="2795"/>
        <v>0</v>
      </c>
      <c r="BV591" s="81">
        <f t="shared" si="2796"/>
        <v>0</v>
      </c>
      <c r="BW591" s="81">
        <f t="shared" si="2797"/>
        <v>0</v>
      </c>
      <c r="BX591" s="1"/>
      <c r="BY591" s="1"/>
      <c r="BZ591" s="1"/>
      <c r="CA591" s="1"/>
      <c r="CB591" s="1"/>
      <c r="CC591" s="1"/>
      <c r="CD591" s="1"/>
      <c r="CE591" s="1"/>
      <c r="CF591" s="1"/>
      <c r="CG591" s="1"/>
    </row>
    <row r="592" spans="1:85" ht="15.75" customHeight="1">
      <c r="A592" s="214" t="s">
        <v>903</v>
      </c>
      <c r="B592" s="146"/>
      <c r="C592" s="129" t="s">
        <v>887</v>
      </c>
      <c r="D592" s="135" t="s">
        <v>904</v>
      </c>
      <c r="E592" s="163"/>
      <c r="F592" s="164"/>
      <c r="G592" s="71">
        <f t="shared" si="2781"/>
        <v>0</v>
      </c>
      <c r="H592" s="70"/>
      <c r="I592" s="72">
        <f t="shared" si="2631"/>
        <v>0</v>
      </c>
      <c r="J592" s="72">
        <f t="shared" si="2632"/>
        <v>0</v>
      </c>
      <c r="K592" s="94">
        <v>2954</v>
      </c>
      <c r="L592" s="75"/>
      <c r="M592" s="81"/>
      <c r="N592" s="88"/>
      <c r="O592" s="77">
        <f t="shared" ref="O592:Q592" si="2825">AA592+AD592+AG592+AJ592+AM592+AP592+AS592+AV592+AY592+BB592+BE592+BH592</f>
        <v>2954</v>
      </c>
      <c r="P592" s="77">
        <f t="shared" si="2825"/>
        <v>0</v>
      </c>
      <c r="Q592" s="77">
        <f t="shared" si="2825"/>
        <v>0</v>
      </c>
      <c r="R592" s="77">
        <f t="shared" ref="R592:T592" si="2826">IF(BK592=0,SUM(AA592+AD592+AG592+AJ592+AM592+AP592+AS592+AV592+AY592+BB592+BE592+BH592),BK592)</f>
        <v>2954</v>
      </c>
      <c r="S592" s="77">
        <f t="shared" si="2826"/>
        <v>0</v>
      </c>
      <c r="T592" s="77">
        <f t="shared" si="2826"/>
        <v>0</v>
      </c>
      <c r="U592" s="78">
        <f t="shared" si="2784"/>
        <v>0</v>
      </c>
      <c r="V592" s="79">
        <f t="shared" si="2785"/>
        <v>0</v>
      </c>
      <c r="W592" s="79">
        <f t="shared" si="2786"/>
        <v>0</v>
      </c>
      <c r="X592" s="80">
        <f t="shared" ref="X592:Y592" si="2827">IF(O592&gt;0,O592/K592,0)</f>
        <v>1</v>
      </c>
      <c r="Y592" s="80">
        <f t="shared" si="2827"/>
        <v>0</v>
      </c>
      <c r="Z592" s="80">
        <f t="shared" si="2391"/>
        <v>0</v>
      </c>
      <c r="AA592" s="81"/>
      <c r="AB592" s="82"/>
      <c r="AC592" s="81"/>
      <c r="AD592" s="81"/>
      <c r="AE592" s="83"/>
      <c r="AF592" s="83"/>
      <c r="AG592" s="128"/>
      <c r="AH592" s="83"/>
      <c r="AI592" s="81"/>
      <c r="AJ592" s="82"/>
      <c r="AK592" s="81"/>
      <c r="AL592" s="81"/>
      <c r="AM592" s="81"/>
      <c r="AN592" s="81"/>
      <c r="AO592" s="81"/>
      <c r="AP592" s="81"/>
      <c r="AQ592" s="81"/>
      <c r="AR592" s="81"/>
      <c r="AS592" s="81"/>
      <c r="AT592" s="81"/>
      <c r="AU592" s="81"/>
      <c r="AV592" s="81"/>
      <c r="AW592" s="81"/>
      <c r="AX592" s="81"/>
      <c r="AY592" s="82">
        <v>1477</v>
      </c>
      <c r="AZ592" s="81"/>
      <c r="BA592" s="81"/>
      <c r="BB592" s="81"/>
      <c r="BC592" s="81"/>
      <c r="BD592" s="81"/>
      <c r="BE592" s="81">
        <f>1477</f>
        <v>1477</v>
      </c>
      <c r="BF592" s="81"/>
      <c r="BG592" s="81"/>
      <c r="BH592" s="81"/>
      <c r="BI592" s="81"/>
      <c r="BJ592" s="81"/>
      <c r="BK592" s="82">
        <v>2954</v>
      </c>
      <c r="BL592" s="82">
        <v>0</v>
      </c>
      <c r="BM592" s="82">
        <v>0</v>
      </c>
      <c r="BN592" s="81">
        <f t="shared" si="2788"/>
        <v>0</v>
      </c>
      <c r="BO592" s="75">
        <f t="shared" si="2789"/>
        <v>0</v>
      </c>
      <c r="BP592" s="81">
        <f t="shared" si="2790"/>
        <v>0</v>
      </c>
      <c r="BQ592" s="81">
        <f t="shared" si="2791"/>
        <v>0</v>
      </c>
      <c r="BR592" s="81">
        <f t="shared" si="2792"/>
        <v>0</v>
      </c>
      <c r="BS592" s="81">
        <f t="shared" si="2793"/>
        <v>0</v>
      </c>
      <c r="BT592" s="81">
        <f t="shared" si="2794"/>
        <v>0</v>
      </c>
      <c r="BU592" s="81">
        <f t="shared" si="2795"/>
        <v>0</v>
      </c>
      <c r="BV592" s="81">
        <f t="shared" si="2796"/>
        <v>0</v>
      </c>
      <c r="BW592" s="81">
        <f t="shared" si="2797"/>
        <v>0</v>
      </c>
      <c r="BX592" s="1"/>
      <c r="BY592" s="1"/>
      <c r="BZ592" s="1"/>
      <c r="CA592" s="1"/>
      <c r="CB592" s="1"/>
      <c r="CC592" s="1"/>
      <c r="CD592" s="1"/>
      <c r="CE592" s="1"/>
      <c r="CF592" s="1"/>
      <c r="CG592" s="1"/>
    </row>
    <row r="593" spans="1:85" ht="15.75" customHeight="1">
      <c r="A593" s="214" t="s">
        <v>905</v>
      </c>
      <c r="B593" s="146"/>
      <c r="C593" s="86" t="s">
        <v>887</v>
      </c>
      <c r="D593" s="135" t="s">
        <v>906</v>
      </c>
      <c r="E593" s="163"/>
      <c r="F593" s="164"/>
      <c r="G593" s="71">
        <f t="shared" si="2781"/>
        <v>0</v>
      </c>
      <c r="H593" s="70"/>
      <c r="I593" s="72">
        <f t="shared" si="2631"/>
        <v>0</v>
      </c>
      <c r="J593" s="72">
        <f t="shared" si="2632"/>
        <v>0</v>
      </c>
      <c r="K593" s="94">
        <v>7152</v>
      </c>
      <c r="L593" s="75"/>
      <c r="M593" s="81"/>
      <c r="N593" s="88"/>
      <c r="O593" s="77">
        <f t="shared" ref="O593:Q593" si="2828">AA593+AD593+AG593+AJ593+AM593+AP593+AS593+AV593+AY593+BB593+BE593+BH593</f>
        <v>7152</v>
      </c>
      <c r="P593" s="77">
        <f t="shared" si="2828"/>
        <v>0</v>
      </c>
      <c r="Q593" s="77">
        <f t="shared" si="2828"/>
        <v>0</v>
      </c>
      <c r="R593" s="77">
        <f t="shared" ref="R593:T593" si="2829">IF(BK593=0,SUM(AA593+AD593+AG593+AJ593+AM593+AP593+AS593+AV593+AY593+BB593+BE593+BH593),BK593)</f>
        <v>7152</v>
      </c>
      <c r="S593" s="77">
        <f t="shared" si="2829"/>
        <v>0</v>
      </c>
      <c r="T593" s="77">
        <f t="shared" si="2829"/>
        <v>0</v>
      </c>
      <c r="U593" s="79">
        <f t="shared" si="2784"/>
        <v>0</v>
      </c>
      <c r="V593" s="79">
        <f t="shared" si="2785"/>
        <v>0</v>
      </c>
      <c r="W593" s="79">
        <f t="shared" si="2786"/>
        <v>0</v>
      </c>
      <c r="X593" s="80">
        <f t="shared" ref="X593:Y593" si="2830">IF(O593&gt;0,O593/K593,0)</f>
        <v>1</v>
      </c>
      <c r="Y593" s="80">
        <f t="shared" si="2830"/>
        <v>0</v>
      </c>
      <c r="Z593" s="80">
        <f t="shared" si="2391"/>
        <v>0</v>
      </c>
      <c r="AA593" s="81"/>
      <c r="AB593" s="82"/>
      <c r="AC593" s="81"/>
      <c r="AD593" s="81"/>
      <c r="AE593" s="83"/>
      <c r="AF593" s="83"/>
      <c r="AG593" s="128"/>
      <c r="AH593" s="83"/>
      <c r="AI593" s="81"/>
      <c r="AJ593" s="82">
        <v>7152</v>
      </c>
      <c r="AK593" s="81"/>
      <c r="AL593" s="81"/>
      <c r="AM593" s="81"/>
      <c r="AN593" s="81"/>
      <c r="AO593" s="81"/>
      <c r="AP593" s="81"/>
      <c r="AQ593" s="81"/>
      <c r="AR593" s="81"/>
      <c r="AS593" s="81"/>
      <c r="AT593" s="81"/>
      <c r="AU593" s="81"/>
      <c r="AV593" s="81"/>
      <c r="AW593" s="81"/>
      <c r="AX593" s="81"/>
      <c r="AY593" s="81"/>
      <c r="AZ593" s="81"/>
      <c r="BA593" s="81"/>
      <c r="BB593" s="81"/>
      <c r="BC593" s="81"/>
      <c r="BD593" s="81"/>
      <c r="BE593" s="81"/>
      <c r="BF593" s="81"/>
      <c r="BG593" s="81"/>
      <c r="BH593" s="81"/>
      <c r="BI593" s="81"/>
      <c r="BJ593" s="81"/>
      <c r="BK593" s="82">
        <v>7152</v>
      </c>
      <c r="BL593" s="82">
        <v>0</v>
      </c>
      <c r="BM593" s="82">
        <v>0</v>
      </c>
      <c r="BN593" s="81">
        <f t="shared" si="2788"/>
        <v>0</v>
      </c>
      <c r="BO593" s="75">
        <f t="shared" si="2789"/>
        <v>0</v>
      </c>
      <c r="BP593" s="81">
        <f t="shared" si="2790"/>
        <v>0</v>
      </c>
      <c r="BQ593" s="81">
        <f t="shared" si="2791"/>
        <v>0</v>
      </c>
      <c r="BR593" s="81">
        <f t="shared" si="2792"/>
        <v>0</v>
      </c>
      <c r="BS593" s="81">
        <f t="shared" si="2793"/>
        <v>0</v>
      </c>
      <c r="BT593" s="81">
        <f t="shared" si="2794"/>
        <v>0</v>
      </c>
      <c r="BU593" s="81">
        <f t="shared" si="2795"/>
        <v>0</v>
      </c>
      <c r="BV593" s="81">
        <f t="shared" si="2796"/>
        <v>0</v>
      </c>
      <c r="BW593" s="81">
        <f t="shared" si="2797"/>
        <v>0</v>
      </c>
      <c r="BX593" s="1"/>
      <c r="BY593" s="1"/>
      <c r="BZ593" s="1"/>
      <c r="CA593" s="1"/>
      <c r="CB593" s="1"/>
      <c r="CC593" s="1"/>
      <c r="CD593" s="1"/>
      <c r="CE593" s="1"/>
      <c r="CF593" s="1"/>
      <c r="CG593" s="1"/>
    </row>
    <row r="594" spans="1:85" ht="15.75" customHeight="1">
      <c r="A594" s="214" t="s">
        <v>907</v>
      </c>
      <c r="B594" s="132" t="s">
        <v>908</v>
      </c>
      <c r="C594" s="86" t="s">
        <v>887</v>
      </c>
      <c r="D594" s="135" t="s">
        <v>909</v>
      </c>
      <c r="E594" s="163"/>
      <c r="F594" s="164"/>
      <c r="G594" s="71">
        <f t="shared" si="2781"/>
        <v>0</v>
      </c>
      <c r="H594" s="70"/>
      <c r="I594" s="72">
        <f t="shared" si="2631"/>
        <v>0</v>
      </c>
      <c r="J594" s="72">
        <f t="shared" si="2632"/>
        <v>0</v>
      </c>
      <c r="K594" s="94">
        <v>4800</v>
      </c>
      <c r="L594" s="75">
        <v>2964</v>
      </c>
      <c r="M594" s="81"/>
      <c r="N594" s="88"/>
      <c r="O594" s="77">
        <f t="shared" ref="O594:Q594" si="2831">AA594+AD594+AG594+AJ594+AM594+AP594+AS594+AV594+AY594+BB594+BE594+BH594</f>
        <v>4800</v>
      </c>
      <c r="P594" s="77">
        <f t="shared" si="2831"/>
        <v>2964</v>
      </c>
      <c r="Q594" s="77">
        <f t="shared" si="2831"/>
        <v>0</v>
      </c>
      <c r="R594" s="77">
        <f t="shared" ref="R594:T594" si="2832">IF(BK594=0,SUM(AA594+AD594+AG594+AJ594+AM594+AP594+AS594+AV594+AY594+BB594+BE594+BH594),BK594)</f>
        <v>4800</v>
      </c>
      <c r="S594" s="77">
        <f t="shared" si="2832"/>
        <v>2964</v>
      </c>
      <c r="T594" s="77">
        <f t="shared" si="2832"/>
        <v>0</v>
      </c>
      <c r="U594" s="79">
        <f t="shared" si="2784"/>
        <v>0</v>
      </c>
      <c r="V594" s="79">
        <f t="shared" si="2785"/>
        <v>0</v>
      </c>
      <c r="W594" s="79">
        <f t="shared" si="2786"/>
        <v>0</v>
      </c>
      <c r="X594" s="80">
        <f t="shared" ref="X594:Y594" si="2833">IF(O594&gt;0,O594/K594,0)</f>
        <v>1</v>
      </c>
      <c r="Y594" s="80">
        <f t="shared" si="2833"/>
        <v>1</v>
      </c>
      <c r="Z594" s="80">
        <f t="shared" si="2391"/>
        <v>0</v>
      </c>
      <c r="AA594" s="81"/>
      <c r="AB594" s="82">
        <v>2964</v>
      </c>
      <c r="AC594" s="81"/>
      <c r="AD594" s="81"/>
      <c r="AE594" s="83"/>
      <c r="AF594" s="83"/>
      <c r="AG594" s="128">
        <v>4800</v>
      </c>
      <c r="AH594" s="83"/>
      <c r="AI594" s="81"/>
      <c r="AJ594" s="81"/>
      <c r="AK594" s="81"/>
      <c r="AL594" s="81"/>
      <c r="AM594" s="81"/>
      <c r="AN594" s="81"/>
      <c r="AO594" s="81"/>
      <c r="AP594" s="81"/>
      <c r="AQ594" s="81"/>
      <c r="AR594" s="81"/>
      <c r="AS594" s="81"/>
      <c r="AT594" s="81"/>
      <c r="AU594" s="81"/>
      <c r="AV594" s="81"/>
      <c r="AW594" s="81"/>
      <c r="AX594" s="81"/>
      <c r="AY594" s="81"/>
      <c r="AZ594" s="81"/>
      <c r="BA594" s="81"/>
      <c r="BB594" s="81"/>
      <c r="BC594" s="81"/>
      <c r="BD594" s="81"/>
      <c r="BE594" s="81"/>
      <c r="BF594" s="81"/>
      <c r="BG594" s="81"/>
      <c r="BH594" s="81"/>
      <c r="BI594" s="81"/>
      <c r="BJ594" s="81"/>
      <c r="BK594" s="82">
        <v>4800</v>
      </c>
      <c r="BL594" s="82">
        <v>2964</v>
      </c>
      <c r="BM594" s="82">
        <v>0</v>
      </c>
      <c r="BN594" s="81">
        <f t="shared" si="2788"/>
        <v>0</v>
      </c>
      <c r="BO594" s="75">
        <f t="shared" si="2789"/>
        <v>0</v>
      </c>
      <c r="BP594" s="81">
        <f t="shared" si="2790"/>
        <v>0</v>
      </c>
      <c r="BQ594" s="81">
        <f t="shared" si="2791"/>
        <v>0</v>
      </c>
      <c r="BR594" s="81">
        <f t="shared" si="2792"/>
        <v>0</v>
      </c>
      <c r="BS594" s="81">
        <f t="shared" si="2793"/>
        <v>0</v>
      </c>
      <c r="BT594" s="81">
        <f t="shared" si="2794"/>
        <v>0</v>
      </c>
      <c r="BU594" s="81">
        <f t="shared" si="2795"/>
        <v>0</v>
      </c>
      <c r="BV594" s="81">
        <f t="shared" si="2796"/>
        <v>0</v>
      </c>
      <c r="BW594" s="81">
        <f t="shared" si="2797"/>
        <v>0</v>
      </c>
      <c r="BX594" s="1"/>
      <c r="BY594" s="1"/>
      <c r="BZ594" s="1"/>
      <c r="CA594" s="1"/>
      <c r="CB594" s="1"/>
      <c r="CC594" s="1"/>
      <c r="CD594" s="1"/>
      <c r="CE594" s="1"/>
      <c r="CF594" s="1"/>
      <c r="CG594" s="1"/>
    </row>
    <row r="595" spans="1:85" ht="15.75" customHeight="1">
      <c r="A595" s="66" t="s">
        <v>910</v>
      </c>
      <c r="B595" s="283"/>
      <c r="C595" s="86" t="s">
        <v>887</v>
      </c>
      <c r="D595" s="135" t="s">
        <v>911</v>
      </c>
      <c r="E595" s="163"/>
      <c r="F595" s="164"/>
      <c r="G595" s="71">
        <f t="shared" si="2781"/>
        <v>0</v>
      </c>
      <c r="H595" s="70"/>
      <c r="I595" s="72">
        <f t="shared" si="2631"/>
        <v>0</v>
      </c>
      <c r="J595" s="72">
        <f t="shared" si="2632"/>
        <v>0</v>
      </c>
      <c r="K595" s="94">
        <v>10976</v>
      </c>
      <c r="L595" s="75"/>
      <c r="M595" s="81"/>
      <c r="N595" s="88"/>
      <c r="O595" s="77">
        <f t="shared" ref="O595:Q595" si="2834">AA595+AD595+AG595+AJ595+AM595+AP595+AS595+AV595+AY595+BB595+BE595+BH595</f>
        <v>10976</v>
      </c>
      <c r="P595" s="77">
        <f t="shared" si="2834"/>
        <v>0</v>
      </c>
      <c r="Q595" s="77">
        <f t="shared" si="2834"/>
        <v>0</v>
      </c>
      <c r="R595" s="77">
        <f t="shared" ref="R595:T595" si="2835">IF(BK595=0,SUM(AA595+AD595+AG595+AJ595+AM595+AP595+AS595+AV595+AY595+BB595+BE595+BH595),BK595)</f>
        <v>10976</v>
      </c>
      <c r="S595" s="77">
        <f t="shared" si="2835"/>
        <v>0</v>
      </c>
      <c r="T595" s="77">
        <f t="shared" si="2835"/>
        <v>0</v>
      </c>
      <c r="U595" s="79">
        <f t="shared" si="2784"/>
        <v>0</v>
      </c>
      <c r="V595" s="79">
        <f t="shared" si="2785"/>
        <v>0</v>
      </c>
      <c r="W595" s="79">
        <f t="shared" si="2786"/>
        <v>0</v>
      </c>
      <c r="X595" s="80">
        <f t="shared" ref="X595:Y595" si="2836">IF(O595&gt;0,O595/K595,0)</f>
        <v>1</v>
      </c>
      <c r="Y595" s="80">
        <f t="shared" si="2836"/>
        <v>0</v>
      </c>
      <c r="Z595" s="80">
        <f t="shared" si="2391"/>
        <v>0</v>
      </c>
      <c r="AA595" s="81"/>
      <c r="AB595" s="81"/>
      <c r="AC595" s="81"/>
      <c r="AD595" s="81"/>
      <c r="AE595" s="83"/>
      <c r="AF595" s="83"/>
      <c r="AG595" s="128"/>
      <c r="AH595" s="83"/>
      <c r="AI595" s="81"/>
      <c r="AJ595" s="81"/>
      <c r="AK595" s="81"/>
      <c r="AL595" s="81"/>
      <c r="AM595" s="82">
        <v>8232</v>
      </c>
      <c r="AN595" s="81"/>
      <c r="AO595" s="81"/>
      <c r="AP595" s="82">
        <v>2744</v>
      </c>
      <c r="AQ595" s="81"/>
      <c r="AR595" s="81"/>
      <c r="AS595" s="81"/>
      <c r="AT595" s="81"/>
      <c r="AU595" s="81"/>
      <c r="AV595" s="81"/>
      <c r="AW595" s="81"/>
      <c r="AX595" s="81"/>
      <c r="AY595" s="81"/>
      <c r="AZ595" s="81"/>
      <c r="BA595" s="81"/>
      <c r="BB595" s="81"/>
      <c r="BC595" s="81"/>
      <c r="BD595" s="81"/>
      <c r="BE595" s="81"/>
      <c r="BF595" s="81"/>
      <c r="BG595" s="81"/>
      <c r="BH595" s="81"/>
      <c r="BI595" s="81"/>
      <c r="BJ595" s="81"/>
      <c r="BK595" s="82">
        <v>10976</v>
      </c>
      <c r="BL595" s="82">
        <v>0</v>
      </c>
      <c r="BM595" s="82">
        <v>0</v>
      </c>
      <c r="BN595" s="81">
        <f t="shared" si="2788"/>
        <v>0</v>
      </c>
      <c r="BO595" s="75">
        <f t="shared" si="2789"/>
        <v>0</v>
      </c>
      <c r="BP595" s="81">
        <f t="shared" si="2790"/>
        <v>0</v>
      </c>
      <c r="BQ595" s="81">
        <f t="shared" si="2791"/>
        <v>0</v>
      </c>
      <c r="BR595" s="81">
        <f t="shared" si="2792"/>
        <v>0</v>
      </c>
      <c r="BS595" s="81">
        <f t="shared" si="2793"/>
        <v>0</v>
      </c>
      <c r="BT595" s="81">
        <f t="shared" si="2794"/>
        <v>0</v>
      </c>
      <c r="BU595" s="81">
        <f t="shared" si="2795"/>
        <v>0</v>
      </c>
      <c r="BV595" s="81">
        <f t="shared" si="2796"/>
        <v>0</v>
      </c>
      <c r="BW595" s="81">
        <f t="shared" si="2797"/>
        <v>0</v>
      </c>
      <c r="BX595" s="1"/>
      <c r="BY595" s="1"/>
      <c r="BZ595" s="1"/>
      <c r="CA595" s="1"/>
      <c r="CB595" s="1"/>
      <c r="CC595" s="1"/>
      <c r="CD595" s="1"/>
      <c r="CE595" s="1"/>
      <c r="CF595" s="1"/>
      <c r="CG595" s="1"/>
    </row>
    <row r="596" spans="1:85" ht="15.75" customHeight="1">
      <c r="A596" s="66" t="s">
        <v>912</v>
      </c>
      <c r="B596" s="283"/>
      <c r="C596" s="86" t="s">
        <v>887</v>
      </c>
      <c r="D596" s="135" t="s">
        <v>911</v>
      </c>
      <c r="E596" s="163"/>
      <c r="F596" s="164"/>
      <c r="G596" s="71">
        <f t="shared" si="2781"/>
        <v>0</v>
      </c>
      <c r="H596" s="70"/>
      <c r="I596" s="72">
        <f t="shared" si="2631"/>
        <v>0</v>
      </c>
      <c r="J596" s="72">
        <f t="shared" si="2632"/>
        <v>0</v>
      </c>
      <c r="K596" s="94">
        <v>14220</v>
      </c>
      <c r="L596" s="75"/>
      <c r="M596" s="81"/>
      <c r="N596" s="88"/>
      <c r="O596" s="77">
        <f t="shared" ref="O596:Q596" si="2837">AA596+AD596+AG596+AJ596+AM596+AP596+AS596+AV596+AY596+BB596+BE596+BH596</f>
        <v>14220</v>
      </c>
      <c r="P596" s="77">
        <f t="shared" si="2837"/>
        <v>0</v>
      </c>
      <c r="Q596" s="77">
        <f t="shared" si="2837"/>
        <v>0</v>
      </c>
      <c r="R596" s="77">
        <f t="shared" ref="R596:T596" si="2838">IF(BK596=0,SUM(AA596+AD596+AG596+AJ596+AM596+AP596+AS596+AV596+AY596+BB596+BE596+BH596),BK596)</f>
        <v>14220</v>
      </c>
      <c r="S596" s="77">
        <f t="shared" si="2838"/>
        <v>0</v>
      </c>
      <c r="T596" s="77">
        <f t="shared" si="2838"/>
        <v>0</v>
      </c>
      <c r="U596" s="79">
        <f t="shared" si="2784"/>
        <v>0</v>
      </c>
      <c r="V596" s="79">
        <f t="shared" si="2785"/>
        <v>0</v>
      </c>
      <c r="W596" s="79">
        <f t="shared" si="2786"/>
        <v>0</v>
      </c>
      <c r="X596" s="80">
        <f t="shared" ref="X596:Y596" si="2839">IF(O596&gt;0,O596/K596,0)</f>
        <v>1</v>
      </c>
      <c r="Y596" s="80">
        <f t="shared" si="2839"/>
        <v>0</v>
      </c>
      <c r="Z596" s="80">
        <f t="shared" si="2391"/>
        <v>0</v>
      </c>
      <c r="AA596" s="81"/>
      <c r="AB596" s="81"/>
      <c r="AC596" s="81"/>
      <c r="AD596" s="81"/>
      <c r="AE596" s="83"/>
      <c r="AF596" s="83"/>
      <c r="AG596" s="128"/>
      <c r="AH596" s="83"/>
      <c r="AI596" s="81"/>
      <c r="AJ596" s="81"/>
      <c r="AK596" s="81"/>
      <c r="AL596" s="81"/>
      <c r="AM596" s="81"/>
      <c r="AN596" s="81"/>
      <c r="AO596" s="81"/>
      <c r="AP596" s="82">
        <v>14220</v>
      </c>
      <c r="AQ596" s="81"/>
      <c r="AR596" s="81"/>
      <c r="AS596" s="81"/>
      <c r="AT596" s="81"/>
      <c r="AU596" s="81"/>
      <c r="AV596" s="81"/>
      <c r="AW596" s="81"/>
      <c r="AX596" s="81"/>
      <c r="AY596" s="81"/>
      <c r="AZ596" s="81"/>
      <c r="BA596" s="81"/>
      <c r="BB596" s="81"/>
      <c r="BC596" s="81"/>
      <c r="BD596" s="81"/>
      <c r="BE596" s="81"/>
      <c r="BF596" s="81"/>
      <c r="BG596" s="81"/>
      <c r="BH596" s="81"/>
      <c r="BI596" s="81"/>
      <c r="BJ596" s="81"/>
      <c r="BK596" s="82">
        <v>14220</v>
      </c>
      <c r="BL596" s="82">
        <v>0</v>
      </c>
      <c r="BM596" s="82">
        <v>0</v>
      </c>
      <c r="BN596" s="81">
        <f t="shared" si="2788"/>
        <v>0</v>
      </c>
      <c r="BO596" s="75">
        <f t="shared" si="2789"/>
        <v>0</v>
      </c>
      <c r="BP596" s="81">
        <f t="shared" si="2790"/>
        <v>0</v>
      </c>
      <c r="BQ596" s="81">
        <f t="shared" si="2791"/>
        <v>0</v>
      </c>
      <c r="BR596" s="81">
        <f t="shared" si="2792"/>
        <v>0</v>
      </c>
      <c r="BS596" s="81">
        <f t="shared" si="2793"/>
        <v>0</v>
      </c>
      <c r="BT596" s="81">
        <f t="shared" si="2794"/>
        <v>0</v>
      </c>
      <c r="BU596" s="81">
        <f t="shared" si="2795"/>
        <v>0</v>
      </c>
      <c r="BV596" s="81">
        <f t="shared" si="2796"/>
        <v>0</v>
      </c>
      <c r="BW596" s="81">
        <f t="shared" si="2797"/>
        <v>0</v>
      </c>
      <c r="BX596" s="1"/>
      <c r="BY596" s="1"/>
      <c r="BZ596" s="1"/>
      <c r="CA596" s="1"/>
      <c r="CB596" s="1"/>
      <c r="CC596" s="1"/>
      <c r="CD596" s="1"/>
      <c r="CE596" s="1"/>
      <c r="CF596" s="1"/>
      <c r="CG596" s="1"/>
    </row>
    <row r="597" spans="1:85" ht="15.75" customHeight="1">
      <c r="A597" s="230" t="s">
        <v>913</v>
      </c>
      <c r="B597" s="283"/>
      <c r="C597" s="86" t="s">
        <v>887</v>
      </c>
      <c r="D597" s="135" t="s">
        <v>911</v>
      </c>
      <c r="E597" s="163"/>
      <c r="F597" s="164"/>
      <c r="G597" s="71">
        <f t="shared" si="2781"/>
        <v>0</v>
      </c>
      <c r="H597" s="70"/>
      <c r="I597" s="72">
        <f t="shared" si="2631"/>
        <v>0</v>
      </c>
      <c r="J597" s="72">
        <f t="shared" si="2632"/>
        <v>0</v>
      </c>
      <c r="K597" s="94">
        <v>1980</v>
      </c>
      <c r="L597" s="75"/>
      <c r="M597" s="81"/>
      <c r="N597" s="88"/>
      <c r="O597" s="77">
        <f t="shared" ref="O597:Q597" si="2840">AA597+AD597+AG597+AJ597+AM597+AP597+AS597+AV597+AY597+BB597+BE597+BH597</f>
        <v>1980</v>
      </c>
      <c r="P597" s="77">
        <f t="shared" si="2840"/>
        <v>0</v>
      </c>
      <c r="Q597" s="77">
        <f t="shared" si="2840"/>
        <v>0</v>
      </c>
      <c r="R597" s="77">
        <f t="shared" ref="R597:T597" si="2841">IF(BK597=0,SUM(AA597+AD597+AG597+AJ597+AM597+AP597+AS597+AV597+AY597+BB597+BE597+BH597),BK597)</f>
        <v>1980</v>
      </c>
      <c r="S597" s="77">
        <f t="shared" si="2841"/>
        <v>0</v>
      </c>
      <c r="T597" s="77">
        <f t="shared" si="2841"/>
        <v>0</v>
      </c>
      <c r="U597" s="79">
        <f t="shared" si="2784"/>
        <v>0</v>
      </c>
      <c r="V597" s="79">
        <f t="shared" si="2785"/>
        <v>0</v>
      </c>
      <c r="W597" s="79">
        <f t="shared" si="2786"/>
        <v>0</v>
      </c>
      <c r="X597" s="80">
        <f t="shared" ref="X597:Y597" si="2842">IF(O597&gt;0,O597/K597,0)</f>
        <v>1</v>
      </c>
      <c r="Y597" s="80">
        <f t="shared" si="2842"/>
        <v>0</v>
      </c>
      <c r="Z597" s="80">
        <f t="shared" si="2391"/>
        <v>0</v>
      </c>
      <c r="AA597" s="81"/>
      <c r="AB597" s="81"/>
      <c r="AC597" s="81"/>
      <c r="AD597" s="81"/>
      <c r="AE597" s="83"/>
      <c r="AF597" s="83"/>
      <c r="AG597" s="128"/>
      <c r="AH597" s="83"/>
      <c r="AI597" s="81"/>
      <c r="AJ597" s="81"/>
      <c r="AK597" s="81"/>
      <c r="AL597" s="81"/>
      <c r="AM597" s="81"/>
      <c r="AN597" s="81"/>
      <c r="AO597" s="81"/>
      <c r="AP597" s="82">
        <v>1980</v>
      </c>
      <c r="AQ597" s="81"/>
      <c r="AR597" s="81"/>
      <c r="AS597" s="81"/>
      <c r="AT597" s="81"/>
      <c r="AU597" s="81"/>
      <c r="AV597" s="81"/>
      <c r="AW597" s="81"/>
      <c r="AX597" s="81"/>
      <c r="AY597" s="81"/>
      <c r="AZ597" s="81"/>
      <c r="BA597" s="81"/>
      <c r="BB597" s="81"/>
      <c r="BC597" s="81"/>
      <c r="BD597" s="81"/>
      <c r="BE597" s="81"/>
      <c r="BF597" s="81"/>
      <c r="BG597" s="81"/>
      <c r="BH597" s="81"/>
      <c r="BI597" s="81"/>
      <c r="BJ597" s="81"/>
      <c r="BK597" s="82">
        <v>1980</v>
      </c>
      <c r="BL597" s="82">
        <v>0</v>
      </c>
      <c r="BM597" s="82">
        <v>0</v>
      </c>
      <c r="BN597" s="81">
        <f t="shared" si="2788"/>
        <v>0</v>
      </c>
      <c r="BO597" s="75">
        <f t="shared" si="2789"/>
        <v>0</v>
      </c>
      <c r="BP597" s="81">
        <f t="shared" si="2790"/>
        <v>0</v>
      </c>
      <c r="BQ597" s="81">
        <f t="shared" si="2791"/>
        <v>0</v>
      </c>
      <c r="BR597" s="81">
        <f t="shared" si="2792"/>
        <v>0</v>
      </c>
      <c r="BS597" s="81">
        <f t="shared" si="2793"/>
        <v>0</v>
      </c>
      <c r="BT597" s="81">
        <f t="shared" si="2794"/>
        <v>0</v>
      </c>
      <c r="BU597" s="81">
        <f t="shared" si="2795"/>
        <v>0</v>
      </c>
      <c r="BV597" s="81">
        <f t="shared" si="2796"/>
        <v>0</v>
      </c>
      <c r="BW597" s="81">
        <f t="shared" si="2797"/>
        <v>0</v>
      </c>
      <c r="BX597" s="1"/>
      <c r="BY597" s="1"/>
      <c r="BZ597" s="1"/>
      <c r="CA597" s="1"/>
      <c r="CB597" s="1"/>
      <c r="CC597" s="1"/>
      <c r="CD597" s="1"/>
      <c r="CE597" s="1"/>
      <c r="CF597" s="1"/>
      <c r="CG597" s="1"/>
    </row>
    <row r="598" spans="1:85" ht="15.75" customHeight="1">
      <c r="A598" s="230" t="s">
        <v>914</v>
      </c>
      <c r="B598" s="283"/>
      <c r="C598" s="86" t="s">
        <v>887</v>
      </c>
      <c r="D598" s="135" t="s">
        <v>915</v>
      </c>
      <c r="E598" s="163"/>
      <c r="F598" s="164"/>
      <c r="G598" s="71">
        <f t="shared" si="2781"/>
        <v>0</v>
      </c>
      <c r="H598" s="70"/>
      <c r="I598" s="72">
        <f t="shared" si="2631"/>
        <v>0</v>
      </c>
      <c r="J598" s="72">
        <f t="shared" si="2632"/>
        <v>0</v>
      </c>
      <c r="K598" s="94">
        <v>34800</v>
      </c>
      <c r="L598" s="75"/>
      <c r="M598" s="81"/>
      <c r="N598" s="88"/>
      <c r="O598" s="77">
        <f t="shared" ref="O598:Q598" si="2843">AA598+AD598+AG598+AJ598+AM598+AP598+AS598+AV598+AY598+BB598+BE598+BH598</f>
        <v>34800</v>
      </c>
      <c r="P598" s="77">
        <f t="shared" si="2843"/>
        <v>0</v>
      </c>
      <c r="Q598" s="77">
        <f t="shared" si="2843"/>
        <v>0</v>
      </c>
      <c r="R598" s="77">
        <f t="shared" ref="R598:T598" si="2844">IF(BK598=0,SUM(AA598+AD598+AG598+AJ598+AM598+AP598+AS598+AV598+AY598+BB598+BE598+BH598),BK598)</f>
        <v>34800</v>
      </c>
      <c r="S598" s="77">
        <f t="shared" si="2844"/>
        <v>0</v>
      </c>
      <c r="T598" s="77">
        <f t="shared" si="2844"/>
        <v>0</v>
      </c>
      <c r="U598" s="78">
        <f t="shared" si="2784"/>
        <v>0</v>
      </c>
      <c r="V598" s="79">
        <f t="shared" si="2785"/>
        <v>0</v>
      </c>
      <c r="W598" s="79">
        <f t="shared" si="2786"/>
        <v>0</v>
      </c>
      <c r="X598" s="80">
        <f t="shared" ref="X598:Y598" si="2845">IF(O598&gt;0,O598/K598,0)</f>
        <v>1</v>
      </c>
      <c r="Y598" s="80">
        <f t="shared" si="2845"/>
        <v>0</v>
      </c>
      <c r="Z598" s="80">
        <f t="shared" si="2391"/>
        <v>0</v>
      </c>
      <c r="AA598" s="81"/>
      <c r="AB598" s="81"/>
      <c r="AC598" s="81"/>
      <c r="AD598" s="81"/>
      <c r="AE598" s="83"/>
      <c r="AF598" s="83"/>
      <c r="AG598" s="128"/>
      <c r="AH598" s="83"/>
      <c r="AI598" s="81"/>
      <c r="AJ598" s="81"/>
      <c r="AK598" s="81"/>
      <c r="AL598" s="81"/>
      <c r="AM598" s="81"/>
      <c r="AN598" s="81"/>
      <c r="AO598" s="81"/>
      <c r="AP598" s="81"/>
      <c r="AQ598" s="81"/>
      <c r="AR598" s="81"/>
      <c r="AS598" s="81"/>
      <c r="AT598" s="81"/>
      <c r="AU598" s="81"/>
      <c r="AV598" s="81">
        <f>28700+6100</f>
        <v>34800</v>
      </c>
      <c r="AW598" s="81"/>
      <c r="AX598" s="81"/>
      <c r="AY598" s="81"/>
      <c r="AZ598" s="81"/>
      <c r="BA598" s="81"/>
      <c r="BB598" s="81"/>
      <c r="BC598" s="81"/>
      <c r="BD598" s="81"/>
      <c r="BE598" s="81"/>
      <c r="BF598" s="81"/>
      <c r="BG598" s="81"/>
      <c r="BH598" s="81"/>
      <c r="BI598" s="81"/>
      <c r="BJ598" s="81"/>
      <c r="BK598" s="82">
        <v>34800</v>
      </c>
      <c r="BL598" s="82">
        <v>0</v>
      </c>
      <c r="BM598" s="82">
        <v>0</v>
      </c>
      <c r="BN598" s="81">
        <f t="shared" si="2788"/>
        <v>0</v>
      </c>
      <c r="BO598" s="75">
        <f t="shared" si="2789"/>
        <v>0</v>
      </c>
      <c r="BP598" s="81">
        <f t="shared" si="2790"/>
        <v>0</v>
      </c>
      <c r="BQ598" s="81">
        <f t="shared" si="2791"/>
        <v>0</v>
      </c>
      <c r="BR598" s="81">
        <f t="shared" si="2792"/>
        <v>0</v>
      </c>
      <c r="BS598" s="81">
        <f t="shared" si="2793"/>
        <v>0</v>
      </c>
      <c r="BT598" s="81">
        <f t="shared" si="2794"/>
        <v>0</v>
      </c>
      <c r="BU598" s="81">
        <f t="shared" si="2795"/>
        <v>0</v>
      </c>
      <c r="BV598" s="81">
        <f t="shared" si="2796"/>
        <v>0</v>
      </c>
      <c r="BW598" s="81">
        <f t="shared" si="2797"/>
        <v>0</v>
      </c>
      <c r="BX598" s="1"/>
      <c r="BY598" s="1"/>
      <c r="BZ598" s="1"/>
      <c r="CA598" s="1"/>
      <c r="CB598" s="1"/>
      <c r="CC598" s="1"/>
      <c r="CD598" s="1"/>
      <c r="CE598" s="1"/>
      <c r="CF598" s="1"/>
      <c r="CG598" s="1"/>
    </row>
    <row r="599" spans="1:85" ht="15.75" customHeight="1">
      <c r="A599" s="230" t="s">
        <v>916</v>
      </c>
      <c r="B599" s="283"/>
      <c r="C599" s="86" t="s">
        <v>887</v>
      </c>
      <c r="D599" s="135" t="s">
        <v>911</v>
      </c>
      <c r="E599" s="163"/>
      <c r="F599" s="164"/>
      <c r="G599" s="71">
        <f t="shared" si="2781"/>
        <v>0</v>
      </c>
      <c r="H599" s="70"/>
      <c r="I599" s="72">
        <f t="shared" si="2631"/>
        <v>0</v>
      </c>
      <c r="J599" s="72">
        <f t="shared" si="2632"/>
        <v>0</v>
      </c>
      <c r="K599" s="94">
        <v>10658.2</v>
      </c>
      <c r="L599" s="75"/>
      <c r="M599" s="81"/>
      <c r="N599" s="88"/>
      <c r="O599" s="77">
        <f t="shared" ref="O599:Q599" si="2846">AA599+AD599+AG599+AJ599+AM599+AP599+AS599+AV599+AY599+BB599+BE599+BH599</f>
        <v>10658.2</v>
      </c>
      <c r="P599" s="77">
        <f t="shared" si="2846"/>
        <v>0</v>
      </c>
      <c r="Q599" s="77">
        <f t="shared" si="2846"/>
        <v>0</v>
      </c>
      <c r="R599" s="77">
        <f t="shared" ref="R599:T599" si="2847">IF(BK599=0,SUM(AA599+AD599+AG599+AJ599+AM599+AP599+AS599+AV599+AY599+BB599+BE599+BH599),BK599)</f>
        <v>10658.2</v>
      </c>
      <c r="S599" s="77">
        <f t="shared" si="2847"/>
        <v>0</v>
      </c>
      <c r="T599" s="77">
        <f t="shared" si="2847"/>
        <v>0</v>
      </c>
      <c r="U599" s="78">
        <f t="shared" si="2784"/>
        <v>0</v>
      </c>
      <c r="V599" s="79">
        <f t="shared" si="2785"/>
        <v>0</v>
      </c>
      <c r="W599" s="79">
        <f t="shared" si="2786"/>
        <v>0</v>
      </c>
      <c r="X599" s="80">
        <f t="shared" ref="X599:Y599" si="2848">IF(O599&gt;0,O599/K599,0)</f>
        <v>1</v>
      </c>
      <c r="Y599" s="80">
        <f t="shared" si="2848"/>
        <v>0</v>
      </c>
      <c r="Z599" s="80">
        <f t="shared" si="2391"/>
        <v>0</v>
      </c>
      <c r="AA599" s="81"/>
      <c r="AB599" s="81"/>
      <c r="AC599" s="81"/>
      <c r="AD599" s="81"/>
      <c r="AE599" s="83"/>
      <c r="AF599" s="83"/>
      <c r="AG599" s="128"/>
      <c r="AH599" s="83"/>
      <c r="AI599" s="81"/>
      <c r="AJ599" s="81"/>
      <c r="AK599" s="81"/>
      <c r="AL599" s="81"/>
      <c r="AM599" s="81"/>
      <c r="AN599" s="81"/>
      <c r="AO599" s="81"/>
      <c r="AP599" s="81"/>
      <c r="AQ599" s="81"/>
      <c r="AR599" s="81"/>
      <c r="AS599" s="81"/>
      <c r="AT599" s="81"/>
      <c r="AU599" s="81"/>
      <c r="AV599" s="81"/>
      <c r="AW599" s="81"/>
      <c r="AX599" s="81"/>
      <c r="AY599" s="81"/>
      <c r="AZ599" s="81"/>
      <c r="BA599" s="81"/>
      <c r="BB599" s="81">
        <f>10658.2</f>
        <v>10658.2</v>
      </c>
      <c r="BC599" s="81"/>
      <c r="BD599" s="81"/>
      <c r="BE599" s="81"/>
      <c r="BF599" s="81"/>
      <c r="BG599" s="81"/>
      <c r="BH599" s="81"/>
      <c r="BI599" s="81"/>
      <c r="BJ599" s="81"/>
      <c r="BK599" s="82">
        <v>10658.2</v>
      </c>
      <c r="BL599" s="82">
        <v>0</v>
      </c>
      <c r="BM599" s="82">
        <v>0</v>
      </c>
      <c r="BN599" s="81">
        <f t="shared" si="2788"/>
        <v>0</v>
      </c>
      <c r="BO599" s="75">
        <f t="shared" si="2789"/>
        <v>0</v>
      </c>
      <c r="BP599" s="81">
        <f t="shared" si="2790"/>
        <v>0</v>
      </c>
      <c r="BQ599" s="81">
        <f t="shared" si="2791"/>
        <v>0</v>
      </c>
      <c r="BR599" s="81">
        <f t="shared" si="2792"/>
        <v>0</v>
      </c>
      <c r="BS599" s="81">
        <f t="shared" si="2793"/>
        <v>0</v>
      </c>
      <c r="BT599" s="81">
        <f t="shared" si="2794"/>
        <v>0</v>
      </c>
      <c r="BU599" s="81">
        <f t="shared" si="2795"/>
        <v>0</v>
      </c>
      <c r="BV599" s="81">
        <f t="shared" si="2796"/>
        <v>0</v>
      </c>
      <c r="BW599" s="81">
        <f t="shared" si="2797"/>
        <v>0</v>
      </c>
      <c r="BX599" s="1"/>
      <c r="BY599" s="1"/>
      <c r="BZ599" s="1"/>
      <c r="CA599" s="1"/>
      <c r="CB599" s="1"/>
      <c r="CC599" s="1"/>
      <c r="CD599" s="1"/>
      <c r="CE599" s="1"/>
      <c r="CF599" s="1"/>
      <c r="CG599" s="1"/>
    </row>
    <row r="600" spans="1:85" ht="15.75" customHeight="1">
      <c r="A600" s="230" t="s">
        <v>917</v>
      </c>
      <c r="B600" s="283"/>
      <c r="C600" s="129" t="s">
        <v>887</v>
      </c>
      <c r="D600" s="135" t="s">
        <v>911</v>
      </c>
      <c r="E600" s="163"/>
      <c r="F600" s="164"/>
      <c r="G600" s="71">
        <f t="shared" si="2781"/>
        <v>0</v>
      </c>
      <c r="H600" s="70"/>
      <c r="I600" s="72">
        <f t="shared" si="2631"/>
        <v>0</v>
      </c>
      <c r="J600" s="72">
        <f t="shared" si="2632"/>
        <v>0</v>
      </c>
      <c r="K600" s="94">
        <v>2744</v>
      </c>
      <c r="L600" s="75"/>
      <c r="M600" s="81"/>
      <c r="N600" s="88"/>
      <c r="O600" s="77">
        <f t="shared" ref="O600:Q600" si="2849">AA600+AD600+AG600+AJ600+AM600+AP600+AS600+AV600+AY600+BB600+BE600+BH600</f>
        <v>2744</v>
      </c>
      <c r="P600" s="77">
        <f t="shared" si="2849"/>
        <v>0</v>
      </c>
      <c r="Q600" s="77">
        <f t="shared" si="2849"/>
        <v>0</v>
      </c>
      <c r="R600" s="77">
        <f t="shared" ref="R600:T600" si="2850">IF(BK600=0,SUM(AA600+AD600+AG600+AJ600+AM600+AP600+AS600+AV600+AY600+BB600+BE600+BH600),BK600)</f>
        <v>2744</v>
      </c>
      <c r="S600" s="77">
        <f t="shared" si="2850"/>
        <v>0</v>
      </c>
      <c r="T600" s="77">
        <f t="shared" si="2850"/>
        <v>0</v>
      </c>
      <c r="U600" s="78">
        <f t="shared" si="2784"/>
        <v>0</v>
      </c>
      <c r="V600" s="79">
        <f t="shared" si="2785"/>
        <v>0</v>
      </c>
      <c r="W600" s="79">
        <f t="shared" si="2786"/>
        <v>0</v>
      </c>
      <c r="X600" s="80">
        <f t="shared" ref="X600:Y600" si="2851">IF(O600&gt;0,O600/K600,0)</f>
        <v>1</v>
      </c>
      <c r="Y600" s="80">
        <f t="shared" si="2851"/>
        <v>0</v>
      </c>
      <c r="Z600" s="80">
        <f t="shared" si="2391"/>
        <v>0</v>
      </c>
      <c r="AA600" s="81"/>
      <c r="AB600" s="81"/>
      <c r="AC600" s="81"/>
      <c r="AD600" s="81"/>
      <c r="AE600" s="83"/>
      <c r="AF600" s="83"/>
      <c r="AG600" s="128"/>
      <c r="AH600" s="83"/>
      <c r="AI600" s="81"/>
      <c r="AJ600" s="81"/>
      <c r="AK600" s="81"/>
      <c r="AL600" s="81"/>
      <c r="AM600" s="81"/>
      <c r="AN600" s="81"/>
      <c r="AO600" s="81"/>
      <c r="AP600" s="81"/>
      <c r="AQ600" s="81"/>
      <c r="AR600" s="81"/>
      <c r="AS600" s="81"/>
      <c r="AT600" s="81"/>
      <c r="AU600" s="81"/>
      <c r="AV600" s="81"/>
      <c r="AW600" s="81"/>
      <c r="AX600" s="81"/>
      <c r="AY600" s="81"/>
      <c r="AZ600" s="81"/>
      <c r="BA600" s="81"/>
      <c r="BB600" s="81">
        <f>2744</f>
        <v>2744</v>
      </c>
      <c r="BC600" s="81"/>
      <c r="BD600" s="81"/>
      <c r="BE600" s="81"/>
      <c r="BF600" s="81"/>
      <c r="BG600" s="81"/>
      <c r="BH600" s="81"/>
      <c r="BI600" s="81"/>
      <c r="BJ600" s="81"/>
      <c r="BK600" s="82">
        <v>2744</v>
      </c>
      <c r="BL600" s="82">
        <v>0</v>
      </c>
      <c r="BM600" s="82">
        <v>0</v>
      </c>
      <c r="BN600" s="81">
        <f t="shared" si="2788"/>
        <v>0</v>
      </c>
      <c r="BO600" s="75">
        <f t="shared" si="2789"/>
        <v>0</v>
      </c>
      <c r="BP600" s="81">
        <f t="shared" si="2790"/>
        <v>0</v>
      </c>
      <c r="BQ600" s="81">
        <f t="shared" si="2791"/>
        <v>0</v>
      </c>
      <c r="BR600" s="81">
        <f t="shared" si="2792"/>
        <v>0</v>
      </c>
      <c r="BS600" s="81">
        <f t="shared" si="2793"/>
        <v>0</v>
      </c>
      <c r="BT600" s="81">
        <f t="shared" si="2794"/>
        <v>0</v>
      </c>
      <c r="BU600" s="81">
        <f t="shared" si="2795"/>
        <v>0</v>
      </c>
      <c r="BV600" s="81">
        <f t="shared" si="2796"/>
        <v>0</v>
      </c>
      <c r="BW600" s="81">
        <f t="shared" si="2797"/>
        <v>0</v>
      </c>
      <c r="BX600" s="1"/>
      <c r="BY600" s="1"/>
      <c r="BZ600" s="1"/>
      <c r="CA600" s="1"/>
      <c r="CB600" s="1"/>
      <c r="CC600" s="1"/>
      <c r="CD600" s="1"/>
      <c r="CE600" s="1"/>
      <c r="CF600" s="1"/>
      <c r="CG600" s="1"/>
    </row>
    <row r="601" spans="1:85" ht="15.75" customHeight="1">
      <c r="A601" s="230" t="s">
        <v>918</v>
      </c>
      <c r="B601" s="283"/>
      <c r="C601" s="129" t="s">
        <v>887</v>
      </c>
      <c r="D601" s="135" t="s">
        <v>919</v>
      </c>
      <c r="E601" s="163"/>
      <c r="F601" s="164"/>
      <c r="G601" s="71">
        <f t="shared" si="2781"/>
        <v>0</v>
      </c>
      <c r="H601" s="70"/>
      <c r="I601" s="72">
        <f t="shared" si="2631"/>
        <v>0</v>
      </c>
      <c r="J601" s="72">
        <f t="shared" si="2632"/>
        <v>0</v>
      </c>
      <c r="K601" s="94">
        <v>7152</v>
      </c>
      <c r="L601" s="75"/>
      <c r="M601" s="81"/>
      <c r="N601" s="88"/>
      <c r="O601" s="77">
        <f t="shared" ref="O601:Q601" si="2852">AA601+AD601+AG601+AJ601+AM601+AP601+AS601+AV601+AY601+BB601+BE601+BH601</f>
        <v>7152</v>
      </c>
      <c r="P601" s="77">
        <f t="shared" si="2852"/>
        <v>0</v>
      </c>
      <c r="Q601" s="77">
        <f t="shared" si="2852"/>
        <v>0</v>
      </c>
      <c r="R601" s="77">
        <f t="shared" ref="R601:T601" si="2853">IF(BK601=0,SUM(AA601+AD601+AG601+AJ601+AM601+AP601+AS601+AV601+AY601+BB601+BE601+BH601),BK601)</f>
        <v>7152</v>
      </c>
      <c r="S601" s="77">
        <f t="shared" si="2853"/>
        <v>0</v>
      </c>
      <c r="T601" s="77">
        <f t="shared" si="2853"/>
        <v>0</v>
      </c>
      <c r="U601" s="78">
        <f t="shared" si="2784"/>
        <v>0</v>
      </c>
      <c r="V601" s="79">
        <f t="shared" si="2785"/>
        <v>0</v>
      </c>
      <c r="W601" s="79">
        <f t="shared" si="2786"/>
        <v>0</v>
      </c>
      <c r="X601" s="80">
        <f t="shared" ref="X601:Y601" si="2854">IF(O601&gt;0,O601/K601,0)</f>
        <v>1</v>
      </c>
      <c r="Y601" s="80">
        <f t="shared" si="2854"/>
        <v>0</v>
      </c>
      <c r="Z601" s="80">
        <f t="shared" si="2391"/>
        <v>0</v>
      </c>
      <c r="AA601" s="81"/>
      <c r="AB601" s="81"/>
      <c r="AC601" s="81"/>
      <c r="AD601" s="81"/>
      <c r="AE601" s="83"/>
      <c r="AF601" s="83"/>
      <c r="AG601" s="128"/>
      <c r="AH601" s="83"/>
      <c r="AI601" s="81"/>
      <c r="AJ601" s="81"/>
      <c r="AK601" s="81"/>
      <c r="AL601" s="81"/>
      <c r="AM601" s="81"/>
      <c r="AN601" s="81"/>
      <c r="AO601" s="81"/>
      <c r="AP601" s="81"/>
      <c r="AQ601" s="81"/>
      <c r="AR601" s="81"/>
      <c r="AS601" s="81"/>
      <c r="AT601" s="81"/>
      <c r="AU601" s="81"/>
      <c r="AV601" s="81"/>
      <c r="AW601" s="81"/>
      <c r="AX601" s="81"/>
      <c r="AY601" s="81"/>
      <c r="AZ601" s="81"/>
      <c r="BA601" s="81"/>
      <c r="BB601" s="81">
        <f>7152</f>
        <v>7152</v>
      </c>
      <c r="BC601" s="81"/>
      <c r="BD601" s="81"/>
      <c r="BE601" s="81"/>
      <c r="BF601" s="81"/>
      <c r="BG601" s="81"/>
      <c r="BH601" s="81"/>
      <c r="BI601" s="81"/>
      <c r="BJ601" s="81"/>
      <c r="BK601" s="82">
        <v>7152</v>
      </c>
      <c r="BL601" s="82">
        <v>0</v>
      </c>
      <c r="BM601" s="82">
        <v>0</v>
      </c>
      <c r="BN601" s="81">
        <f t="shared" si="2788"/>
        <v>0</v>
      </c>
      <c r="BO601" s="75">
        <f t="shared" si="2789"/>
        <v>0</v>
      </c>
      <c r="BP601" s="81">
        <f t="shared" si="2790"/>
        <v>0</v>
      </c>
      <c r="BQ601" s="81">
        <f t="shared" si="2791"/>
        <v>0</v>
      </c>
      <c r="BR601" s="81">
        <f t="shared" si="2792"/>
        <v>0</v>
      </c>
      <c r="BS601" s="81">
        <f t="shared" si="2793"/>
        <v>0</v>
      </c>
      <c r="BT601" s="81">
        <f t="shared" si="2794"/>
        <v>0</v>
      </c>
      <c r="BU601" s="81">
        <f t="shared" si="2795"/>
        <v>0</v>
      </c>
      <c r="BV601" s="81">
        <f t="shared" si="2796"/>
        <v>0</v>
      </c>
      <c r="BW601" s="81">
        <f t="shared" si="2797"/>
        <v>0</v>
      </c>
      <c r="BX601" s="1"/>
      <c r="BY601" s="1"/>
      <c r="BZ601" s="1"/>
      <c r="CA601" s="1"/>
      <c r="CB601" s="1"/>
      <c r="CC601" s="1"/>
      <c r="CD601" s="1"/>
      <c r="CE601" s="1"/>
      <c r="CF601" s="1"/>
      <c r="CG601" s="1"/>
    </row>
    <row r="602" spans="1:85" ht="15.75" customHeight="1">
      <c r="A602" s="230" t="s">
        <v>920</v>
      </c>
      <c r="B602" s="283"/>
      <c r="C602" s="129" t="s">
        <v>887</v>
      </c>
      <c r="D602" s="135" t="s">
        <v>911</v>
      </c>
      <c r="E602" s="163"/>
      <c r="F602" s="164"/>
      <c r="G602" s="71">
        <f t="shared" si="2781"/>
        <v>0</v>
      </c>
      <c r="H602" s="70"/>
      <c r="I602" s="72">
        <f t="shared" si="2631"/>
        <v>0</v>
      </c>
      <c r="J602" s="72">
        <f t="shared" si="2632"/>
        <v>0</v>
      </c>
      <c r="K602" s="94">
        <v>891</v>
      </c>
      <c r="L602" s="75"/>
      <c r="M602" s="81"/>
      <c r="N602" s="88"/>
      <c r="O602" s="77">
        <f t="shared" ref="O602:Q602" si="2855">AA602+AD602+AG602+AJ602+AM602+AP602+AS602+AV602+AY602+BB602+BE602+BH602</f>
        <v>891</v>
      </c>
      <c r="P602" s="77">
        <f t="shared" si="2855"/>
        <v>0</v>
      </c>
      <c r="Q602" s="77">
        <f t="shared" si="2855"/>
        <v>0</v>
      </c>
      <c r="R602" s="77">
        <f t="shared" ref="R602:T602" si="2856">IF(BK602=0,SUM(AA602+AD602+AG602+AJ602+AM602+AP602+AS602+AV602+AY602+BB602+BE602+BH602),BK602)</f>
        <v>891</v>
      </c>
      <c r="S602" s="77">
        <f t="shared" si="2856"/>
        <v>0</v>
      </c>
      <c r="T602" s="77">
        <f t="shared" si="2856"/>
        <v>0</v>
      </c>
      <c r="U602" s="78">
        <f t="shared" si="2784"/>
        <v>0</v>
      </c>
      <c r="V602" s="79">
        <f t="shared" si="2785"/>
        <v>0</v>
      </c>
      <c r="W602" s="79">
        <f t="shared" si="2786"/>
        <v>0</v>
      </c>
      <c r="X602" s="80">
        <f t="shared" ref="X602:Y602" si="2857">IF(O602&gt;0,O602/K602,0)</f>
        <v>1</v>
      </c>
      <c r="Y602" s="80">
        <f t="shared" si="2857"/>
        <v>0</v>
      </c>
      <c r="Z602" s="80">
        <f t="shared" si="2391"/>
        <v>0</v>
      </c>
      <c r="AA602" s="81"/>
      <c r="AB602" s="81"/>
      <c r="AC602" s="81"/>
      <c r="AD602" s="81"/>
      <c r="AE602" s="83"/>
      <c r="AF602" s="83"/>
      <c r="AG602" s="128"/>
      <c r="AH602" s="83"/>
      <c r="AI602" s="81"/>
      <c r="AJ602" s="81"/>
      <c r="AK602" s="81"/>
      <c r="AL602" s="81"/>
      <c r="AM602" s="81"/>
      <c r="AN602" s="81"/>
      <c r="AO602" s="81"/>
      <c r="AP602" s="81"/>
      <c r="AQ602" s="81"/>
      <c r="AR602" s="81"/>
      <c r="AS602" s="81"/>
      <c r="AT602" s="81"/>
      <c r="AU602" s="81"/>
      <c r="AV602" s="81"/>
      <c r="AW602" s="81"/>
      <c r="AX602" s="81"/>
      <c r="AY602" s="82">
        <v>891</v>
      </c>
      <c r="AZ602" s="81"/>
      <c r="BA602" s="81"/>
      <c r="BB602" s="81"/>
      <c r="BC602" s="81"/>
      <c r="BD602" s="81"/>
      <c r="BE602" s="81"/>
      <c r="BF602" s="81"/>
      <c r="BG602" s="81"/>
      <c r="BH602" s="81"/>
      <c r="BI602" s="81"/>
      <c r="BJ602" s="81"/>
      <c r="BK602" s="82">
        <v>891</v>
      </c>
      <c r="BL602" s="82">
        <v>0</v>
      </c>
      <c r="BM602" s="82">
        <v>0</v>
      </c>
      <c r="BN602" s="81">
        <f t="shared" si="2788"/>
        <v>0</v>
      </c>
      <c r="BO602" s="75">
        <f t="shared" si="2789"/>
        <v>0</v>
      </c>
      <c r="BP602" s="81">
        <f t="shared" si="2790"/>
        <v>0</v>
      </c>
      <c r="BQ602" s="81">
        <f t="shared" si="2791"/>
        <v>0</v>
      </c>
      <c r="BR602" s="81">
        <f t="shared" si="2792"/>
        <v>0</v>
      </c>
      <c r="BS602" s="81">
        <f t="shared" si="2793"/>
        <v>0</v>
      </c>
      <c r="BT602" s="81">
        <f t="shared" si="2794"/>
        <v>0</v>
      </c>
      <c r="BU602" s="81">
        <f t="shared" si="2795"/>
        <v>0</v>
      </c>
      <c r="BV602" s="81">
        <f t="shared" si="2796"/>
        <v>0</v>
      </c>
      <c r="BW602" s="81">
        <f t="shared" si="2797"/>
        <v>0</v>
      </c>
      <c r="BX602" s="1"/>
      <c r="BY602" s="1"/>
      <c r="BZ602" s="1"/>
      <c r="CA602" s="1"/>
      <c r="CB602" s="1"/>
      <c r="CC602" s="1"/>
      <c r="CD602" s="1"/>
      <c r="CE602" s="1"/>
      <c r="CF602" s="1"/>
      <c r="CG602" s="1"/>
    </row>
    <row r="603" spans="1:85" ht="15.75" customHeight="1">
      <c r="A603" s="230" t="s">
        <v>921</v>
      </c>
      <c r="B603" s="283"/>
      <c r="C603" s="129" t="s">
        <v>133</v>
      </c>
      <c r="D603" s="135" t="s">
        <v>915</v>
      </c>
      <c r="E603" s="163"/>
      <c r="F603" s="164"/>
      <c r="G603" s="71">
        <f t="shared" si="2781"/>
        <v>0</v>
      </c>
      <c r="H603" s="70"/>
      <c r="I603" s="72">
        <f t="shared" si="2631"/>
        <v>0</v>
      </c>
      <c r="J603" s="72">
        <f t="shared" si="2632"/>
        <v>0</v>
      </c>
      <c r="K603" s="94">
        <f>155040-33165-121875</f>
        <v>0</v>
      </c>
      <c r="L603" s="75"/>
      <c r="M603" s="81"/>
      <c r="N603" s="88"/>
      <c r="O603" s="77">
        <f t="shared" ref="O603:Q603" si="2858">AA603+AD603+AG603+AJ603+AM603+AP603+AS603+AV603+AY603+BB603+BE603+BH603</f>
        <v>0</v>
      </c>
      <c r="P603" s="77">
        <f t="shared" si="2858"/>
        <v>0</v>
      </c>
      <c r="Q603" s="77">
        <f t="shared" si="2858"/>
        <v>0</v>
      </c>
      <c r="R603" s="77">
        <f t="shared" ref="R603:T603" si="2859">IF(BK603=0,SUM(AA603+AD603+AG603+AJ603+AM603+AP603+AS603+AV603+AY603+BB603+BE603+BH603),BK603)</f>
        <v>0</v>
      </c>
      <c r="S603" s="77">
        <f t="shared" si="2859"/>
        <v>0</v>
      </c>
      <c r="T603" s="77">
        <f t="shared" si="2859"/>
        <v>0</v>
      </c>
      <c r="U603" s="79">
        <f t="shared" si="2784"/>
        <v>0</v>
      </c>
      <c r="V603" s="79">
        <f t="shared" si="2785"/>
        <v>0</v>
      </c>
      <c r="W603" s="79">
        <f t="shared" si="2786"/>
        <v>0</v>
      </c>
      <c r="X603" s="80">
        <f t="shared" ref="X603:Y603" si="2860">IF(O603&gt;0,O603/K603,0)</f>
        <v>0</v>
      </c>
      <c r="Y603" s="80">
        <f t="shared" si="2860"/>
        <v>0</v>
      </c>
      <c r="Z603" s="80">
        <f t="shared" si="2391"/>
        <v>0</v>
      </c>
      <c r="AA603" s="81"/>
      <c r="AB603" s="81"/>
      <c r="AC603" s="81"/>
      <c r="AD603" s="81"/>
      <c r="AE603" s="83"/>
      <c r="AF603" s="83"/>
      <c r="AG603" s="128">
        <v>33615</v>
      </c>
      <c r="AH603" s="83"/>
      <c r="AI603" s="81"/>
      <c r="AJ603" s="81">
        <f>-33165+-450</f>
        <v>-33615</v>
      </c>
      <c r="AK603" s="81"/>
      <c r="AL603" s="81"/>
      <c r="AM603" s="81"/>
      <c r="AN603" s="81"/>
      <c r="AO603" s="81"/>
      <c r="AP603" s="81"/>
      <c r="AQ603" s="81"/>
      <c r="AR603" s="81"/>
      <c r="AS603" s="81"/>
      <c r="AT603" s="81"/>
      <c r="AU603" s="81"/>
      <c r="AV603" s="81"/>
      <c r="AW603" s="81"/>
      <c r="AX603" s="81"/>
      <c r="AY603" s="81"/>
      <c r="AZ603" s="81"/>
      <c r="BA603" s="81"/>
      <c r="BB603" s="81"/>
      <c r="BC603" s="81"/>
      <c r="BD603" s="81"/>
      <c r="BE603" s="81"/>
      <c r="BF603" s="81"/>
      <c r="BG603" s="81"/>
      <c r="BH603" s="81"/>
      <c r="BI603" s="81"/>
      <c r="BJ603" s="81"/>
      <c r="BK603" s="82">
        <v>0</v>
      </c>
      <c r="BL603" s="82">
        <v>0</v>
      </c>
      <c r="BM603" s="82">
        <v>0</v>
      </c>
      <c r="BN603" s="81">
        <f t="shared" si="2788"/>
        <v>0</v>
      </c>
      <c r="BO603" s="75">
        <f t="shared" si="2789"/>
        <v>0</v>
      </c>
      <c r="BP603" s="81">
        <f t="shared" si="2790"/>
        <v>0</v>
      </c>
      <c r="BQ603" s="81">
        <f t="shared" si="2791"/>
        <v>0</v>
      </c>
      <c r="BR603" s="81">
        <f t="shared" si="2792"/>
        <v>0</v>
      </c>
      <c r="BS603" s="81">
        <f t="shared" si="2793"/>
        <v>0</v>
      </c>
      <c r="BT603" s="81">
        <f t="shared" si="2794"/>
        <v>0</v>
      </c>
      <c r="BU603" s="81">
        <f t="shared" si="2795"/>
        <v>0</v>
      </c>
      <c r="BV603" s="81">
        <f t="shared" si="2796"/>
        <v>0</v>
      </c>
      <c r="BW603" s="81">
        <f t="shared" si="2797"/>
        <v>0</v>
      </c>
      <c r="BX603" s="1"/>
      <c r="BY603" s="1"/>
      <c r="BZ603" s="1"/>
      <c r="CA603" s="1"/>
      <c r="CB603" s="1"/>
      <c r="CC603" s="1"/>
      <c r="CD603" s="1"/>
      <c r="CE603" s="1"/>
      <c r="CF603" s="1"/>
      <c r="CG603" s="1"/>
    </row>
    <row r="604" spans="1:85" ht="15.75" customHeight="1">
      <c r="A604" s="66" t="s">
        <v>922</v>
      </c>
      <c r="B604" s="283"/>
      <c r="C604" s="86" t="s">
        <v>887</v>
      </c>
      <c r="D604" s="135" t="s">
        <v>888</v>
      </c>
      <c r="E604" s="163"/>
      <c r="F604" s="164"/>
      <c r="G604" s="71">
        <f t="shared" si="2781"/>
        <v>0</v>
      </c>
      <c r="H604" s="70"/>
      <c r="I604" s="72">
        <f t="shared" si="2631"/>
        <v>0</v>
      </c>
      <c r="J604" s="72">
        <f t="shared" si="2632"/>
        <v>0</v>
      </c>
      <c r="K604" s="94">
        <v>33165</v>
      </c>
      <c r="L604" s="75"/>
      <c r="M604" s="81"/>
      <c r="N604" s="88"/>
      <c r="O604" s="77">
        <f t="shared" ref="O604:Q604" si="2861">AA604+AD604+AG604+AJ604+AM604+AP604+AS604+AV604+AY604+BB604+BE604+BH604</f>
        <v>33165</v>
      </c>
      <c r="P604" s="77">
        <f t="shared" si="2861"/>
        <v>0</v>
      </c>
      <c r="Q604" s="77">
        <f t="shared" si="2861"/>
        <v>0</v>
      </c>
      <c r="R604" s="77">
        <f t="shared" ref="R604:T604" si="2862">IF(BK604=0,SUM(AA604+AD604+AG604+AJ604+AM604+AP604+AS604+AV604+AY604+BB604+BE604+BH604),BK604)</f>
        <v>33165</v>
      </c>
      <c r="S604" s="77">
        <f t="shared" si="2862"/>
        <v>0</v>
      </c>
      <c r="T604" s="77">
        <f t="shared" si="2862"/>
        <v>0</v>
      </c>
      <c r="U604" s="79">
        <f t="shared" si="2784"/>
        <v>0</v>
      </c>
      <c r="V604" s="79">
        <f t="shared" si="2785"/>
        <v>0</v>
      </c>
      <c r="W604" s="79">
        <f t="shared" si="2786"/>
        <v>0</v>
      </c>
      <c r="X604" s="80">
        <f t="shared" ref="X604:Y604" si="2863">IF(O604&gt;0,O604/K604,0)</f>
        <v>1</v>
      </c>
      <c r="Y604" s="80">
        <f t="shared" si="2863"/>
        <v>0</v>
      </c>
      <c r="Z604" s="80">
        <f t="shared" si="2391"/>
        <v>0</v>
      </c>
      <c r="AA604" s="81"/>
      <c r="AB604" s="81"/>
      <c r="AC604" s="81"/>
      <c r="AD604" s="81"/>
      <c r="AE604" s="83"/>
      <c r="AF604" s="83"/>
      <c r="AG604" s="83"/>
      <c r="AH604" s="83"/>
      <c r="AI604" s="81"/>
      <c r="AJ604" s="82">
        <v>33165</v>
      </c>
      <c r="AK604" s="81"/>
      <c r="AL604" s="81"/>
      <c r="AM604" s="81"/>
      <c r="AN604" s="81"/>
      <c r="AO604" s="81"/>
      <c r="AP604" s="81"/>
      <c r="AQ604" s="81"/>
      <c r="AR604" s="81"/>
      <c r="AS604" s="81"/>
      <c r="AT604" s="81"/>
      <c r="AU604" s="81"/>
      <c r="AV604" s="81"/>
      <c r="AW604" s="81"/>
      <c r="AX604" s="81"/>
      <c r="AY604" s="81"/>
      <c r="AZ604" s="81"/>
      <c r="BA604" s="81"/>
      <c r="BB604" s="81"/>
      <c r="BC604" s="81"/>
      <c r="BD604" s="81"/>
      <c r="BE604" s="81"/>
      <c r="BF604" s="81"/>
      <c r="BG604" s="81"/>
      <c r="BH604" s="81"/>
      <c r="BI604" s="81"/>
      <c r="BJ604" s="81"/>
      <c r="BK604" s="82">
        <v>33165</v>
      </c>
      <c r="BL604" s="82">
        <v>0</v>
      </c>
      <c r="BM604" s="82">
        <v>0</v>
      </c>
      <c r="BN604" s="81">
        <f t="shared" si="2788"/>
        <v>0</v>
      </c>
      <c r="BO604" s="75">
        <f t="shared" si="2789"/>
        <v>0</v>
      </c>
      <c r="BP604" s="81">
        <f t="shared" si="2790"/>
        <v>0</v>
      </c>
      <c r="BQ604" s="81">
        <f t="shared" si="2791"/>
        <v>0</v>
      </c>
      <c r="BR604" s="81">
        <f t="shared" si="2792"/>
        <v>0</v>
      </c>
      <c r="BS604" s="81">
        <f t="shared" si="2793"/>
        <v>0</v>
      </c>
      <c r="BT604" s="81">
        <f t="shared" si="2794"/>
        <v>0</v>
      </c>
      <c r="BU604" s="81">
        <f t="shared" si="2795"/>
        <v>0</v>
      </c>
      <c r="BV604" s="81">
        <f t="shared" si="2796"/>
        <v>0</v>
      </c>
      <c r="BW604" s="81">
        <f t="shared" si="2797"/>
        <v>0</v>
      </c>
      <c r="BX604" s="1"/>
      <c r="BY604" s="1"/>
      <c r="BZ604" s="1"/>
      <c r="CA604" s="1"/>
      <c r="CB604" s="1"/>
      <c r="CC604" s="1"/>
      <c r="CD604" s="1"/>
      <c r="CE604" s="1"/>
      <c r="CF604" s="1"/>
      <c r="CG604" s="1"/>
    </row>
    <row r="605" spans="1:85" ht="15.75" customHeight="1">
      <c r="A605" s="66" t="s">
        <v>923</v>
      </c>
      <c r="B605" s="283"/>
      <c r="C605" s="86" t="s">
        <v>887</v>
      </c>
      <c r="D605" s="135" t="s">
        <v>888</v>
      </c>
      <c r="E605" s="163"/>
      <c r="F605" s="164"/>
      <c r="G605" s="71">
        <f t="shared" si="2781"/>
        <v>0</v>
      </c>
      <c r="H605" s="70"/>
      <c r="I605" s="72">
        <f t="shared" si="2631"/>
        <v>0</v>
      </c>
      <c r="J605" s="72">
        <f t="shared" si="2632"/>
        <v>0</v>
      </c>
      <c r="K605" s="94">
        <f>121875+450.24-0.24</f>
        <v>122325</v>
      </c>
      <c r="L605" s="75"/>
      <c r="M605" s="81"/>
      <c r="N605" s="88"/>
      <c r="O605" s="77">
        <f t="shared" ref="O605:Q605" si="2864">AA605+AD605+AG605+AJ605+AM605+AP605+AS605+AV605+AY605+BB605+BE605+BH605</f>
        <v>122325</v>
      </c>
      <c r="P605" s="77">
        <f t="shared" si="2864"/>
        <v>0</v>
      </c>
      <c r="Q605" s="77">
        <f t="shared" si="2864"/>
        <v>0</v>
      </c>
      <c r="R605" s="77">
        <f t="shared" ref="R605:T605" si="2865">IF(BK605=0,SUM(AA605+AD605+AG605+AJ605+AM605+AP605+AS605+AV605+AY605+BB605+BE605+BH605),BK605)</f>
        <v>122325</v>
      </c>
      <c r="S605" s="77">
        <f t="shared" si="2865"/>
        <v>0</v>
      </c>
      <c r="T605" s="77">
        <f t="shared" si="2865"/>
        <v>0</v>
      </c>
      <c r="U605" s="78">
        <f t="shared" si="2784"/>
        <v>0</v>
      </c>
      <c r="V605" s="79">
        <f t="shared" si="2785"/>
        <v>0</v>
      </c>
      <c r="W605" s="79">
        <f t="shared" si="2786"/>
        <v>0</v>
      </c>
      <c r="X605" s="80">
        <f t="shared" ref="X605:Y605" si="2866">IF(O605&gt;0,O605/K605,0)</f>
        <v>1</v>
      </c>
      <c r="Y605" s="80">
        <f t="shared" si="2866"/>
        <v>0</v>
      </c>
      <c r="Z605" s="80">
        <f t="shared" si="2391"/>
        <v>0</v>
      </c>
      <c r="AA605" s="81"/>
      <c r="AB605" s="81"/>
      <c r="AC605" s="81"/>
      <c r="AD605" s="81"/>
      <c r="AE605" s="83"/>
      <c r="AF605" s="83"/>
      <c r="AG605" s="83"/>
      <c r="AH605" s="83"/>
      <c r="AI605" s="81"/>
      <c r="AJ605" s="82">
        <v>450</v>
      </c>
      <c r="AK605" s="81"/>
      <c r="AL605" s="81"/>
      <c r="AM605" s="82">
        <f>17220+17220</f>
        <v>34440</v>
      </c>
      <c r="AN605" s="81"/>
      <c r="AO605" s="81"/>
      <c r="AP605" s="81"/>
      <c r="AQ605" s="81"/>
      <c r="AR605" s="81"/>
      <c r="AS605" s="82">
        <v>62310</v>
      </c>
      <c r="AT605" s="81"/>
      <c r="AU605" s="81"/>
      <c r="AV605" s="81"/>
      <c r="AW605" s="81"/>
      <c r="AX605" s="81"/>
      <c r="AY605" s="81"/>
      <c r="AZ605" s="81"/>
      <c r="BA605" s="81"/>
      <c r="BB605" s="81">
        <f>25125</f>
        <v>25125</v>
      </c>
      <c r="BC605" s="81"/>
      <c r="BD605" s="81"/>
      <c r="BE605" s="81"/>
      <c r="BF605" s="81"/>
      <c r="BG605" s="81"/>
      <c r="BH605" s="81"/>
      <c r="BI605" s="81"/>
      <c r="BJ605" s="81"/>
      <c r="BK605" s="82">
        <v>122325</v>
      </c>
      <c r="BL605" s="82">
        <v>0</v>
      </c>
      <c r="BM605" s="82">
        <v>0</v>
      </c>
      <c r="BN605" s="81">
        <f t="shared" si="2788"/>
        <v>0</v>
      </c>
      <c r="BO605" s="75">
        <f t="shared" si="2789"/>
        <v>0</v>
      </c>
      <c r="BP605" s="81">
        <f t="shared" si="2790"/>
        <v>0</v>
      </c>
      <c r="BQ605" s="81">
        <f t="shared" si="2791"/>
        <v>0</v>
      </c>
      <c r="BR605" s="81">
        <f t="shared" si="2792"/>
        <v>0</v>
      </c>
      <c r="BS605" s="81">
        <f t="shared" si="2793"/>
        <v>0</v>
      </c>
      <c r="BT605" s="81">
        <f t="shared" si="2794"/>
        <v>0</v>
      </c>
      <c r="BU605" s="81">
        <f t="shared" si="2795"/>
        <v>0</v>
      </c>
      <c r="BV605" s="81">
        <f t="shared" si="2796"/>
        <v>0</v>
      </c>
      <c r="BW605" s="81">
        <f t="shared" si="2797"/>
        <v>0</v>
      </c>
      <c r="BX605" s="1"/>
      <c r="BY605" s="1"/>
      <c r="BZ605" s="1"/>
      <c r="CA605" s="1"/>
      <c r="CB605" s="1"/>
      <c r="CC605" s="1"/>
      <c r="CD605" s="1"/>
      <c r="CE605" s="1"/>
      <c r="CF605" s="1"/>
      <c r="CG605" s="1"/>
    </row>
    <row r="606" spans="1:85" ht="15.75" customHeight="1">
      <c r="A606" s="66" t="s">
        <v>924</v>
      </c>
      <c r="B606" s="115"/>
      <c r="C606" s="86" t="s">
        <v>925</v>
      </c>
      <c r="D606" s="292" t="s">
        <v>926</v>
      </c>
      <c r="E606" s="163">
        <v>15000</v>
      </c>
      <c r="F606" s="164"/>
      <c r="G606" s="71">
        <f t="shared" si="2781"/>
        <v>15000</v>
      </c>
      <c r="H606" s="70"/>
      <c r="I606" s="72">
        <f t="shared" si="2631"/>
        <v>2.4E-2</v>
      </c>
      <c r="J606" s="72">
        <f t="shared" si="2632"/>
        <v>2.4E-2</v>
      </c>
      <c r="K606" s="94">
        <v>360</v>
      </c>
      <c r="L606" s="75"/>
      <c r="M606" s="81"/>
      <c r="N606" s="88"/>
      <c r="O606" s="77">
        <f t="shared" ref="O606:Q606" si="2867">AA606+AD606+AG606+AJ606+AM606+AP606+AS606+AV606+AY606+BB606+BE606+BH606</f>
        <v>360</v>
      </c>
      <c r="P606" s="77">
        <f t="shared" si="2867"/>
        <v>0</v>
      </c>
      <c r="Q606" s="77">
        <f t="shared" si="2867"/>
        <v>0</v>
      </c>
      <c r="R606" s="77">
        <f t="shared" ref="R606:T606" si="2868">IF(BK606=0,SUM(AA606+AD606+AG606+AJ606+AM606+AP606+AS606+AV606+AY606+BB606+BE606+BH606),BK606)</f>
        <v>360</v>
      </c>
      <c r="S606" s="77">
        <f t="shared" si="2868"/>
        <v>0</v>
      </c>
      <c r="T606" s="77">
        <f t="shared" si="2868"/>
        <v>0</v>
      </c>
      <c r="U606" s="78">
        <f t="shared" si="2784"/>
        <v>0</v>
      </c>
      <c r="V606" s="79">
        <f t="shared" si="2785"/>
        <v>0</v>
      </c>
      <c r="W606" s="79">
        <f t="shared" si="2786"/>
        <v>0</v>
      </c>
      <c r="X606" s="80">
        <f t="shared" ref="X606:Y606" si="2869">IF(O606&gt;0,O606/K606,0)</f>
        <v>1</v>
      </c>
      <c r="Y606" s="80">
        <f t="shared" si="2869"/>
        <v>0</v>
      </c>
      <c r="Z606" s="80">
        <f t="shared" si="2391"/>
        <v>0</v>
      </c>
      <c r="AA606" s="81"/>
      <c r="AB606" s="81"/>
      <c r="AC606" s="81"/>
      <c r="AD606" s="81"/>
      <c r="AE606" s="83"/>
      <c r="AF606" s="83"/>
      <c r="AG606" s="83"/>
      <c r="AH606" s="83"/>
      <c r="AI606" s="81"/>
      <c r="AJ606" s="81"/>
      <c r="AK606" s="81"/>
      <c r="AL606" s="81"/>
      <c r="AM606" s="81"/>
      <c r="AN606" s="81"/>
      <c r="AO606" s="81"/>
      <c r="AP606" s="82"/>
      <c r="AQ606" s="81"/>
      <c r="AR606" s="81"/>
      <c r="AS606" s="82">
        <v>360</v>
      </c>
      <c r="AT606" s="81"/>
      <c r="AU606" s="81"/>
      <c r="AV606" s="81"/>
      <c r="AW606" s="81"/>
      <c r="AX606" s="81"/>
      <c r="AY606" s="81"/>
      <c r="AZ606" s="81"/>
      <c r="BA606" s="81"/>
      <c r="BB606" s="81"/>
      <c r="BC606" s="81"/>
      <c r="BD606" s="81"/>
      <c r="BE606" s="81"/>
      <c r="BF606" s="81"/>
      <c r="BG606" s="81"/>
      <c r="BH606" s="81"/>
      <c r="BI606" s="81"/>
      <c r="BJ606" s="81"/>
      <c r="BK606" s="82">
        <v>360</v>
      </c>
      <c r="BL606" s="82">
        <v>0</v>
      </c>
      <c r="BM606" s="82">
        <v>0</v>
      </c>
      <c r="BN606" s="81">
        <f t="shared" si="2788"/>
        <v>0</v>
      </c>
      <c r="BO606" s="75">
        <f t="shared" si="2789"/>
        <v>0</v>
      </c>
      <c r="BP606" s="81">
        <f t="shared" si="2790"/>
        <v>0</v>
      </c>
      <c r="BQ606" s="81">
        <f t="shared" si="2791"/>
        <v>0</v>
      </c>
      <c r="BR606" s="81">
        <f t="shared" si="2792"/>
        <v>0</v>
      </c>
      <c r="BS606" s="81">
        <f t="shared" si="2793"/>
        <v>0</v>
      </c>
      <c r="BT606" s="81">
        <f t="shared" si="2794"/>
        <v>0</v>
      </c>
      <c r="BU606" s="81">
        <f t="shared" si="2795"/>
        <v>0</v>
      </c>
      <c r="BV606" s="81">
        <f t="shared" si="2796"/>
        <v>0</v>
      </c>
      <c r="BW606" s="81">
        <f t="shared" si="2797"/>
        <v>0</v>
      </c>
      <c r="BX606" s="1"/>
      <c r="BY606" s="1"/>
      <c r="BZ606" s="1"/>
      <c r="CA606" s="1"/>
      <c r="CB606" s="1"/>
      <c r="CC606" s="1"/>
      <c r="CD606" s="1"/>
      <c r="CE606" s="1"/>
      <c r="CF606" s="1"/>
      <c r="CG606" s="1"/>
    </row>
    <row r="607" spans="1:85" ht="15.75" customHeight="1">
      <c r="A607" s="145"/>
      <c r="B607" s="132" t="s">
        <v>927</v>
      </c>
      <c r="C607" s="86" t="s">
        <v>925</v>
      </c>
      <c r="D607" s="292" t="s">
        <v>928</v>
      </c>
      <c r="E607" s="163"/>
      <c r="F607" s="164"/>
      <c r="G607" s="71">
        <f t="shared" si="2781"/>
        <v>0</v>
      </c>
      <c r="H607" s="70"/>
      <c r="I607" s="72">
        <f t="shared" si="2631"/>
        <v>0</v>
      </c>
      <c r="J607" s="72">
        <f t="shared" si="2632"/>
        <v>0</v>
      </c>
      <c r="K607" s="94"/>
      <c r="L607" s="75">
        <v>682.42</v>
      </c>
      <c r="M607" s="81"/>
      <c r="N607" s="88"/>
      <c r="O607" s="77">
        <f t="shared" ref="O607:Q607" si="2870">AA607+AD607+AG607+AJ607+AM607+AP607+AS607+AV607+AY607+BB607+BE607+BH607</f>
        <v>0</v>
      </c>
      <c r="P607" s="77">
        <f t="shared" si="2870"/>
        <v>682.42</v>
      </c>
      <c r="Q607" s="77">
        <f t="shared" si="2870"/>
        <v>0</v>
      </c>
      <c r="R607" s="77">
        <f t="shared" ref="R607:T607" si="2871">IF(BK607=0,SUM(AA607+AD607+AG607+AJ607+AM607+AP607+AS607+AV607+AY607+BB607+BE607+BH607),BK607)</f>
        <v>0</v>
      </c>
      <c r="S607" s="77">
        <f t="shared" si="2871"/>
        <v>682.42</v>
      </c>
      <c r="T607" s="77">
        <f t="shared" si="2871"/>
        <v>0</v>
      </c>
      <c r="U607" s="78">
        <f t="shared" si="2784"/>
        <v>0</v>
      </c>
      <c r="V607" s="79">
        <f t="shared" si="2785"/>
        <v>0</v>
      </c>
      <c r="W607" s="79">
        <f t="shared" si="2786"/>
        <v>0</v>
      </c>
      <c r="X607" s="80">
        <f t="shared" ref="X607:Y607" si="2872">IF(O607&gt;0,O607/K607,0)</f>
        <v>0</v>
      </c>
      <c r="Y607" s="80">
        <f t="shared" si="2872"/>
        <v>1</v>
      </c>
      <c r="Z607" s="80">
        <f t="shared" si="2391"/>
        <v>0</v>
      </c>
      <c r="AA607" s="81"/>
      <c r="AB607" s="82">
        <v>682.42</v>
      </c>
      <c r="AC607" s="81"/>
      <c r="AD607" s="81"/>
      <c r="AE607" s="83"/>
      <c r="AF607" s="83"/>
      <c r="AG607" s="83"/>
      <c r="AH607" s="83"/>
      <c r="AI607" s="81"/>
      <c r="AJ607" s="81"/>
      <c r="AK607" s="81"/>
      <c r="AL607" s="81"/>
      <c r="AM607" s="81"/>
      <c r="AN607" s="81"/>
      <c r="AO607" s="81"/>
      <c r="AP607" s="81"/>
      <c r="AQ607" s="81"/>
      <c r="AR607" s="81"/>
      <c r="AS607" s="81"/>
      <c r="AT607" s="81"/>
      <c r="AU607" s="81"/>
      <c r="AV607" s="81"/>
      <c r="AW607" s="81"/>
      <c r="AX607" s="81"/>
      <c r="AY607" s="81"/>
      <c r="AZ607" s="81"/>
      <c r="BA607" s="81"/>
      <c r="BB607" s="81"/>
      <c r="BC607" s="81"/>
      <c r="BD607" s="81"/>
      <c r="BE607" s="81"/>
      <c r="BF607" s="81"/>
      <c r="BG607" s="81"/>
      <c r="BH607" s="81"/>
      <c r="BI607" s="81"/>
      <c r="BJ607" s="81"/>
      <c r="BK607" s="82">
        <v>0</v>
      </c>
      <c r="BL607" s="82">
        <v>682.42</v>
      </c>
      <c r="BM607" s="82">
        <v>0</v>
      </c>
      <c r="BN607" s="81">
        <f t="shared" si="2788"/>
        <v>0</v>
      </c>
      <c r="BO607" s="75">
        <f t="shared" si="2789"/>
        <v>0</v>
      </c>
      <c r="BP607" s="81">
        <f t="shared" si="2790"/>
        <v>0</v>
      </c>
      <c r="BQ607" s="81">
        <f t="shared" si="2791"/>
        <v>0</v>
      </c>
      <c r="BR607" s="81">
        <f t="shared" si="2792"/>
        <v>0</v>
      </c>
      <c r="BS607" s="81">
        <f t="shared" si="2793"/>
        <v>0</v>
      </c>
      <c r="BT607" s="81">
        <f t="shared" si="2794"/>
        <v>0</v>
      </c>
      <c r="BU607" s="81">
        <f t="shared" si="2795"/>
        <v>0</v>
      </c>
      <c r="BV607" s="81">
        <f t="shared" si="2796"/>
        <v>0</v>
      </c>
      <c r="BW607" s="81">
        <f t="shared" si="2797"/>
        <v>0</v>
      </c>
      <c r="BX607" s="1"/>
      <c r="BY607" s="1"/>
      <c r="BZ607" s="1"/>
      <c r="CA607" s="1"/>
      <c r="CB607" s="1"/>
      <c r="CC607" s="1"/>
      <c r="CD607" s="1"/>
      <c r="CE607" s="1"/>
      <c r="CF607" s="1"/>
      <c r="CG607" s="1"/>
    </row>
    <row r="608" spans="1:85" ht="15.75" customHeight="1">
      <c r="A608" s="66" t="s">
        <v>929</v>
      </c>
      <c r="B608" s="283"/>
      <c r="C608" s="86" t="s">
        <v>925</v>
      </c>
      <c r="D608" s="135" t="s">
        <v>930</v>
      </c>
      <c r="E608" s="163"/>
      <c r="F608" s="164"/>
      <c r="G608" s="71">
        <f t="shared" si="2781"/>
        <v>0</v>
      </c>
      <c r="H608" s="70"/>
      <c r="I608" s="72">
        <f t="shared" si="2631"/>
        <v>0</v>
      </c>
      <c r="J608" s="72">
        <f t="shared" si="2632"/>
        <v>0</v>
      </c>
      <c r="K608" s="94">
        <v>18515</v>
      </c>
      <c r="L608" s="75"/>
      <c r="M608" s="82"/>
      <c r="N608" s="88"/>
      <c r="O608" s="77">
        <f t="shared" ref="O608:Q608" si="2873">AA608+AD608+AG608+AJ608+AM608+AP608+AS608+AV608+AY608+BB608+BE608+BH608</f>
        <v>18515</v>
      </c>
      <c r="P608" s="77">
        <f t="shared" si="2873"/>
        <v>0</v>
      </c>
      <c r="Q608" s="77">
        <f t="shared" si="2873"/>
        <v>0</v>
      </c>
      <c r="R608" s="77">
        <f t="shared" ref="R608:T608" si="2874">IF(BK608=0,SUM(AA608+AD608+AG608+AJ608+AM608+AP608+AS608+AV608+AY608+BB608+BE608+BH608),BK608)</f>
        <v>18515</v>
      </c>
      <c r="S608" s="77">
        <f t="shared" si="2874"/>
        <v>0</v>
      </c>
      <c r="T608" s="77">
        <f t="shared" si="2874"/>
        <v>0</v>
      </c>
      <c r="U608" s="78">
        <f t="shared" si="2784"/>
        <v>0</v>
      </c>
      <c r="V608" s="79">
        <f t="shared" si="2785"/>
        <v>0</v>
      </c>
      <c r="W608" s="79">
        <f t="shared" si="2786"/>
        <v>0</v>
      </c>
      <c r="X608" s="80">
        <f t="shared" ref="X608:Y608" si="2875">IF(O608&gt;0,O608/K608,0)</f>
        <v>1</v>
      </c>
      <c r="Y608" s="80">
        <f t="shared" si="2875"/>
        <v>0</v>
      </c>
      <c r="Z608" s="80">
        <f t="shared" si="2391"/>
        <v>0</v>
      </c>
      <c r="AA608" s="81"/>
      <c r="AB608" s="81"/>
      <c r="AC608" s="81"/>
      <c r="AD608" s="81"/>
      <c r="AE608" s="83"/>
      <c r="AF608" s="83"/>
      <c r="AG608" s="83"/>
      <c r="AH608" s="83"/>
      <c r="AI608" s="81"/>
      <c r="AJ608" s="81"/>
      <c r="AK608" s="81"/>
      <c r="AL608" s="81"/>
      <c r="AM608" s="81"/>
      <c r="AN608" s="81"/>
      <c r="AO608" s="81"/>
      <c r="AP608" s="81"/>
      <c r="AQ608" s="81"/>
      <c r="AR608" s="81"/>
      <c r="AS608" s="81"/>
      <c r="AT608" s="81"/>
      <c r="AU608" s="81"/>
      <c r="AV608" s="81">
        <f>5290+7935</f>
        <v>13225</v>
      </c>
      <c r="AW608" s="81"/>
      <c r="AX608" s="81"/>
      <c r="AY608" s="82">
        <v>5290</v>
      </c>
      <c r="AZ608" s="81"/>
      <c r="BA608" s="81"/>
      <c r="BB608" s="81"/>
      <c r="BC608" s="81"/>
      <c r="BD608" s="81"/>
      <c r="BE608" s="81"/>
      <c r="BF608" s="81"/>
      <c r="BG608" s="81"/>
      <c r="BH608" s="81"/>
      <c r="BI608" s="81"/>
      <c r="BJ608" s="81"/>
      <c r="BK608" s="82">
        <v>18515</v>
      </c>
      <c r="BL608" s="82">
        <v>0</v>
      </c>
      <c r="BM608" s="82">
        <v>0</v>
      </c>
      <c r="BN608" s="81">
        <f t="shared" si="2788"/>
        <v>0</v>
      </c>
      <c r="BO608" s="75">
        <f t="shared" si="2789"/>
        <v>0</v>
      </c>
      <c r="BP608" s="81">
        <f t="shared" si="2790"/>
        <v>0</v>
      </c>
      <c r="BQ608" s="81">
        <f t="shared" si="2791"/>
        <v>0</v>
      </c>
      <c r="BR608" s="81">
        <f t="shared" si="2792"/>
        <v>0</v>
      </c>
      <c r="BS608" s="81">
        <f t="shared" si="2793"/>
        <v>0</v>
      </c>
      <c r="BT608" s="81">
        <f t="shared" si="2794"/>
        <v>0</v>
      </c>
      <c r="BU608" s="81">
        <f t="shared" si="2795"/>
        <v>0</v>
      </c>
      <c r="BV608" s="81">
        <f t="shared" si="2796"/>
        <v>0</v>
      </c>
      <c r="BW608" s="81">
        <f t="shared" si="2797"/>
        <v>0</v>
      </c>
      <c r="BX608" s="1"/>
      <c r="BY608" s="1"/>
      <c r="BZ608" s="1"/>
      <c r="CA608" s="1"/>
      <c r="CB608" s="1"/>
      <c r="CC608" s="1"/>
      <c r="CD608" s="1"/>
      <c r="CE608" s="1"/>
      <c r="CF608" s="1"/>
      <c r="CG608" s="1"/>
    </row>
    <row r="609" spans="1:85" ht="15.75" customHeight="1">
      <c r="A609" s="125" t="s">
        <v>931</v>
      </c>
      <c r="B609" s="283"/>
      <c r="C609" s="86" t="s">
        <v>925</v>
      </c>
      <c r="D609" s="135" t="s">
        <v>930</v>
      </c>
      <c r="E609" s="163"/>
      <c r="F609" s="164"/>
      <c r="G609" s="71">
        <f t="shared" si="2781"/>
        <v>0</v>
      </c>
      <c r="H609" s="70"/>
      <c r="I609" s="72">
        <f t="shared" si="2631"/>
        <v>0</v>
      </c>
      <c r="J609" s="72">
        <f t="shared" si="2632"/>
        <v>0</v>
      </c>
      <c r="K609" s="94">
        <v>13180</v>
      </c>
      <c r="L609" s="75"/>
      <c r="M609" s="82"/>
      <c r="N609" s="88"/>
      <c r="O609" s="77">
        <f t="shared" ref="O609:Q609" si="2876">AA609+AD609+AG609+AJ609+AM609+AP609+AS609+AV609+AY609+BB609+BE609+BH609</f>
        <v>0</v>
      </c>
      <c r="P609" s="77">
        <f t="shared" si="2876"/>
        <v>0</v>
      </c>
      <c r="Q609" s="77">
        <f t="shared" si="2876"/>
        <v>0</v>
      </c>
      <c r="R609" s="77">
        <f t="shared" ref="R609:T609" si="2877">IF(BK609=0,SUM(AA609+AD609+AG609+AJ609+AM609+AP609+AS609+AV609+AY609+BB609+BE609+BH609),BK609)</f>
        <v>0</v>
      </c>
      <c r="S609" s="77">
        <f t="shared" si="2877"/>
        <v>0</v>
      </c>
      <c r="T609" s="77">
        <f t="shared" si="2877"/>
        <v>0</v>
      </c>
      <c r="U609" s="78">
        <f t="shared" si="2784"/>
        <v>13180</v>
      </c>
      <c r="V609" s="79">
        <f t="shared" si="2785"/>
        <v>0</v>
      </c>
      <c r="W609" s="79">
        <f t="shared" si="2786"/>
        <v>0</v>
      </c>
      <c r="X609" s="80">
        <f t="shared" ref="X609:Y609" si="2878">IF(O609&gt;0,O609/K609,0)</f>
        <v>0</v>
      </c>
      <c r="Y609" s="80">
        <f t="shared" si="2878"/>
        <v>0</v>
      </c>
      <c r="Z609" s="80">
        <f t="shared" si="2391"/>
        <v>0</v>
      </c>
      <c r="AA609" s="81"/>
      <c r="AB609" s="81"/>
      <c r="AC609" s="81"/>
      <c r="AD609" s="81"/>
      <c r="AE609" s="83"/>
      <c r="AF609" s="83"/>
      <c r="AG609" s="83"/>
      <c r="AH609" s="83"/>
      <c r="AI609" s="81"/>
      <c r="AJ609" s="81"/>
      <c r="AK609" s="81"/>
      <c r="AL609" s="81"/>
      <c r="AM609" s="81"/>
      <c r="AN609" s="81"/>
      <c r="AO609" s="81"/>
      <c r="AP609" s="81"/>
      <c r="AQ609" s="81"/>
      <c r="AR609" s="81"/>
      <c r="AS609" s="81"/>
      <c r="AT609" s="81"/>
      <c r="AU609" s="81"/>
      <c r="AV609" s="81"/>
      <c r="AW609" s="81"/>
      <c r="AX609" s="81"/>
      <c r="AY609" s="81"/>
      <c r="AZ609" s="81"/>
      <c r="BA609" s="81"/>
      <c r="BB609" s="81"/>
      <c r="BC609" s="81"/>
      <c r="BD609" s="81"/>
      <c r="BE609" s="81"/>
      <c r="BF609" s="81"/>
      <c r="BG609" s="81"/>
      <c r="BH609" s="81"/>
      <c r="BI609" s="81"/>
      <c r="BJ609" s="81"/>
      <c r="BK609" s="82">
        <v>0</v>
      </c>
      <c r="BL609" s="82">
        <v>0</v>
      </c>
      <c r="BM609" s="82">
        <v>0</v>
      </c>
      <c r="BN609" s="81">
        <f t="shared" si="2788"/>
        <v>0</v>
      </c>
      <c r="BO609" s="75">
        <f t="shared" si="2789"/>
        <v>0</v>
      </c>
      <c r="BP609" s="81">
        <f t="shared" si="2790"/>
        <v>0</v>
      </c>
      <c r="BQ609" s="81">
        <f t="shared" si="2791"/>
        <v>13180</v>
      </c>
      <c r="BR609" s="81">
        <f t="shared" si="2792"/>
        <v>0</v>
      </c>
      <c r="BS609" s="81">
        <f t="shared" si="2793"/>
        <v>13180</v>
      </c>
      <c r="BT609" s="81">
        <f t="shared" si="2794"/>
        <v>0</v>
      </c>
      <c r="BU609" s="81">
        <f t="shared" si="2795"/>
        <v>0</v>
      </c>
      <c r="BV609" s="81">
        <f t="shared" si="2796"/>
        <v>13180</v>
      </c>
      <c r="BW609" s="81">
        <f t="shared" si="2797"/>
        <v>13180</v>
      </c>
      <c r="BX609" s="1"/>
      <c r="BY609" s="1"/>
      <c r="BZ609" s="1"/>
      <c r="CA609" s="1"/>
      <c r="CB609" s="1"/>
      <c r="CC609" s="1"/>
      <c r="CD609" s="1"/>
      <c r="CE609" s="1"/>
      <c r="CF609" s="1"/>
      <c r="CG609" s="1"/>
    </row>
    <row r="610" spans="1:85" ht="15.75" customHeight="1">
      <c r="A610" s="66" t="s">
        <v>932</v>
      </c>
      <c r="B610" s="283"/>
      <c r="C610" s="86" t="s">
        <v>925</v>
      </c>
      <c r="D610" s="135" t="s">
        <v>930</v>
      </c>
      <c r="E610" s="163"/>
      <c r="F610" s="164"/>
      <c r="G610" s="71">
        <f t="shared" si="2781"/>
        <v>0</v>
      </c>
      <c r="H610" s="70"/>
      <c r="I610" s="72">
        <f t="shared" si="2631"/>
        <v>0</v>
      </c>
      <c r="J610" s="72">
        <f t="shared" si="2632"/>
        <v>0</v>
      </c>
      <c r="K610" s="94">
        <v>5290</v>
      </c>
      <c r="L610" s="75"/>
      <c r="M610" s="82"/>
      <c r="N610" s="88"/>
      <c r="O610" s="77">
        <f t="shared" ref="O610:Q610" si="2879">AA610+AD610+AG610+AJ610+AM610+AP610+AS610+AV610+AY610+BB610+BE610+BH610</f>
        <v>0</v>
      </c>
      <c r="P610" s="77">
        <f t="shared" si="2879"/>
        <v>0</v>
      </c>
      <c r="Q610" s="77">
        <f t="shared" si="2879"/>
        <v>0</v>
      </c>
      <c r="R610" s="77">
        <f t="shared" ref="R610:T610" si="2880">IF(BK610=0,SUM(AA610+AD610+AG610+AJ610+AM610+AP610+AS610+AV610+AY610+BB610+BE610+BH610),BK610)</f>
        <v>0</v>
      </c>
      <c r="S610" s="77">
        <f t="shared" si="2880"/>
        <v>0</v>
      </c>
      <c r="T610" s="77">
        <f t="shared" si="2880"/>
        <v>0</v>
      </c>
      <c r="U610" s="78">
        <f t="shared" si="2784"/>
        <v>5290</v>
      </c>
      <c r="V610" s="79">
        <f t="shared" si="2785"/>
        <v>0</v>
      </c>
      <c r="W610" s="79">
        <f t="shared" si="2786"/>
        <v>0</v>
      </c>
      <c r="X610" s="80">
        <f t="shared" ref="X610:Y610" si="2881">IF(O610&gt;0,O610/K610,0)</f>
        <v>0</v>
      </c>
      <c r="Y610" s="80">
        <f t="shared" si="2881"/>
        <v>0</v>
      </c>
      <c r="Z610" s="80">
        <f t="shared" si="2391"/>
        <v>0</v>
      </c>
      <c r="AA610" s="81"/>
      <c r="AB610" s="81"/>
      <c r="AC610" s="81"/>
      <c r="AD610" s="81"/>
      <c r="AE610" s="83"/>
      <c r="AF610" s="83"/>
      <c r="AG610" s="83"/>
      <c r="AH610" s="83"/>
      <c r="AI610" s="81"/>
      <c r="AJ610" s="81"/>
      <c r="AK610" s="81"/>
      <c r="AL610" s="81"/>
      <c r="AM610" s="81"/>
      <c r="AN610" s="81"/>
      <c r="AO610" s="81"/>
      <c r="AP610" s="81"/>
      <c r="AQ610" s="81"/>
      <c r="AR610" s="81"/>
      <c r="AS610" s="81"/>
      <c r="AT610" s="81"/>
      <c r="AU610" s="81"/>
      <c r="AV610" s="81"/>
      <c r="AW610" s="81"/>
      <c r="AX610" s="81"/>
      <c r="AY610" s="81"/>
      <c r="AZ610" s="81"/>
      <c r="BA610" s="81"/>
      <c r="BB610" s="81"/>
      <c r="BC610" s="81"/>
      <c r="BD610" s="81"/>
      <c r="BE610" s="81"/>
      <c r="BF610" s="81"/>
      <c r="BG610" s="81"/>
      <c r="BH610" s="81"/>
      <c r="BI610" s="81"/>
      <c r="BJ610" s="81"/>
      <c r="BK610" s="82">
        <v>0</v>
      </c>
      <c r="BL610" s="82">
        <v>0</v>
      </c>
      <c r="BM610" s="82">
        <v>0</v>
      </c>
      <c r="BN610" s="81">
        <f t="shared" si="2788"/>
        <v>0</v>
      </c>
      <c r="BO610" s="75">
        <f t="shared" si="2789"/>
        <v>0</v>
      </c>
      <c r="BP610" s="81">
        <f t="shared" si="2790"/>
        <v>0</v>
      </c>
      <c r="BQ610" s="81">
        <f t="shared" si="2791"/>
        <v>5290</v>
      </c>
      <c r="BR610" s="81">
        <f t="shared" si="2792"/>
        <v>0</v>
      </c>
      <c r="BS610" s="81">
        <f t="shared" si="2793"/>
        <v>5290</v>
      </c>
      <c r="BT610" s="81">
        <f t="shared" si="2794"/>
        <v>0</v>
      </c>
      <c r="BU610" s="81">
        <f t="shared" si="2795"/>
        <v>0</v>
      </c>
      <c r="BV610" s="81">
        <f t="shared" si="2796"/>
        <v>5290</v>
      </c>
      <c r="BW610" s="81">
        <f t="shared" si="2797"/>
        <v>5290</v>
      </c>
      <c r="BX610" s="1"/>
      <c r="BY610" s="1"/>
      <c r="BZ610" s="1"/>
      <c r="CA610" s="1"/>
      <c r="CB610" s="1"/>
      <c r="CC610" s="1"/>
      <c r="CD610" s="1"/>
      <c r="CE610" s="1"/>
      <c r="CF610" s="1"/>
      <c r="CG610" s="1"/>
    </row>
    <row r="611" spans="1:85" ht="15.75" customHeight="1">
      <c r="A611" s="113"/>
      <c r="B611" s="115" t="s">
        <v>933</v>
      </c>
      <c r="C611" s="86" t="s">
        <v>578</v>
      </c>
      <c r="D611" s="292" t="s">
        <v>934</v>
      </c>
      <c r="E611" s="163">
        <v>40000</v>
      </c>
      <c r="F611" s="164"/>
      <c r="G611" s="71">
        <f t="shared" si="2781"/>
        <v>40000</v>
      </c>
      <c r="H611" s="70"/>
      <c r="I611" s="72">
        <f t="shared" si="2631"/>
        <v>0</v>
      </c>
      <c r="J611" s="72">
        <f t="shared" si="2632"/>
        <v>0</v>
      </c>
      <c r="K611" s="76"/>
      <c r="L611" s="75">
        <v>6857.41</v>
      </c>
      <c r="M611" s="82">
        <f>6857.41-6857.41</f>
        <v>0</v>
      </c>
      <c r="N611" s="88"/>
      <c r="O611" s="77">
        <f t="shared" ref="O611:Q611" si="2882">AA611+AD611+AG611+AJ611+AM611+AP611+AS611+AV611+AY611+BB611+BE611+BH611</f>
        <v>0</v>
      </c>
      <c r="P611" s="77">
        <f t="shared" si="2882"/>
        <v>0</v>
      </c>
      <c r="Q611" s="77">
        <f t="shared" si="2882"/>
        <v>0</v>
      </c>
      <c r="R611" s="77">
        <f t="shared" ref="R611:T611" si="2883">IF(BK611=0,SUM(AA611+AD611+AG611+AJ611+AM611+AP611+AS611+AV611+AY611+BB611+BE611+BH611),BK611)</f>
        <v>0</v>
      </c>
      <c r="S611" s="77">
        <f t="shared" si="2883"/>
        <v>0</v>
      </c>
      <c r="T611" s="77">
        <f t="shared" si="2883"/>
        <v>0</v>
      </c>
      <c r="U611" s="79">
        <f t="shared" si="2784"/>
        <v>0</v>
      </c>
      <c r="V611" s="79">
        <f t="shared" si="2785"/>
        <v>6857.41</v>
      </c>
      <c r="W611" s="79">
        <f t="shared" si="2786"/>
        <v>0</v>
      </c>
      <c r="X611" s="80">
        <f t="shared" ref="X611:Y611" si="2884">IF(O611&gt;0,O611/K611,0)</f>
        <v>0</v>
      </c>
      <c r="Y611" s="80">
        <f t="shared" si="2884"/>
        <v>0</v>
      </c>
      <c r="Z611" s="80">
        <f t="shared" si="2391"/>
        <v>0</v>
      </c>
      <c r="AA611" s="81"/>
      <c r="AB611" s="81"/>
      <c r="AC611" s="81"/>
      <c r="AD611" s="81"/>
      <c r="AE611" s="83"/>
      <c r="AF611" s="83"/>
      <c r="AG611" s="83"/>
      <c r="AH611" s="83"/>
      <c r="AI611" s="81"/>
      <c r="AJ611" s="81"/>
      <c r="AK611" s="81"/>
      <c r="AL611" s="81"/>
      <c r="AM611" s="81"/>
      <c r="AN611" s="81"/>
      <c r="AO611" s="81"/>
      <c r="AP611" s="81"/>
      <c r="AQ611" s="81"/>
      <c r="AR611" s="81"/>
      <c r="AS611" s="81"/>
      <c r="AT611" s="81"/>
      <c r="AU611" s="81"/>
      <c r="AV611" s="81"/>
      <c r="AW611" s="81"/>
      <c r="AX611" s="81"/>
      <c r="AY611" s="81"/>
      <c r="AZ611" s="81"/>
      <c r="BA611" s="81"/>
      <c r="BB611" s="81"/>
      <c r="BC611" s="81"/>
      <c r="BD611" s="81"/>
      <c r="BE611" s="81"/>
      <c r="BF611" s="81"/>
      <c r="BG611" s="81"/>
      <c r="BH611" s="81"/>
      <c r="BI611" s="81"/>
      <c r="BJ611" s="81"/>
      <c r="BK611" s="82">
        <v>0</v>
      </c>
      <c r="BL611" s="82">
        <v>0</v>
      </c>
      <c r="BM611" s="82">
        <v>0</v>
      </c>
      <c r="BN611" s="81">
        <f t="shared" si="2788"/>
        <v>0</v>
      </c>
      <c r="BO611" s="75">
        <f t="shared" si="2789"/>
        <v>0</v>
      </c>
      <c r="BP611" s="81">
        <f t="shared" si="2790"/>
        <v>0</v>
      </c>
      <c r="BQ611" s="81">
        <f t="shared" si="2791"/>
        <v>0</v>
      </c>
      <c r="BR611" s="81">
        <f t="shared" si="2792"/>
        <v>0</v>
      </c>
      <c r="BS611" s="81">
        <f t="shared" si="2793"/>
        <v>0</v>
      </c>
      <c r="BT611" s="133">
        <f t="shared" si="2794"/>
        <v>6857.41</v>
      </c>
      <c r="BU611" s="81">
        <f t="shared" si="2795"/>
        <v>0</v>
      </c>
      <c r="BV611" s="81">
        <f t="shared" si="2796"/>
        <v>0</v>
      </c>
      <c r="BW611" s="81">
        <f t="shared" si="2797"/>
        <v>6857.41</v>
      </c>
      <c r="BX611" s="1"/>
      <c r="BY611" s="1"/>
      <c r="BZ611" s="1"/>
      <c r="CA611" s="1"/>
      <c r="CB611" s="1"/>
      <c r="CC611" s="1"/>
      <c r="CD611" s="1"/>
      <c r="CE611" s="1"/>
      <c r="CF611" s="1"/>
      <c r="CG611" s="1"/>
    </row>
    <row r="612" spans="1:85" ht="15.75" customHeight="1">
      <c r="A612" s="145"/>
      <c r="B612" s="132" t="s">
        <v>935</v>
      </c>
      <c r="C612" s="86" t="s">
        <v>578</v>
      </c>
      <c r="D612" s="292" t="s">
        <v>936</v>
      </c>
      <c r="E612" s="163"/>
      <c r="F612" s="164"/>
      <c r="G612" s="71">
        <f t="shared" si="2781"/>
        <v>0</v>
      </c>
      <c r="H612" s="70"/>
      <c r="I612" s="72">
        <f t="shared" si="2631"/>
        <v>0</v>
      </c>
      <c r="J612" s="72">
        <f t="shared" si="2632"/>
        <v>0</v>
      </c>
      <c r="K612" s="76"/>
      <c r="L612" s="75">
        <v>3275.19</v>
      </c>
      <c r="M612" s="82">
        <v>1088.1600000000001</v>
      </c>
      <c r="N612" s="88"/>
      <c r="O612" s="77">
        <f t="shared" ref="O612:Q612" si="2885">AA612+AD612+AG612+AJ612+AM612+AP612+AS612+AV612+AY612+BB612+BE612+BH612</f>
        <v>0</v>
      </c>
      <c r="P612" s="77">
        <f t="shared" si="2885"/>
        <v>2187.0300000000002</v>
      </c>
      <c r="Q612" s="77">
        <f t="shared" si="2885"/>
        <v>0</v>
      </c>
      <c r="R612" s="77">
        <f t="shared" ref="R612:T612" si="2886">IF(BK612=0,SUM(AA612+AD612+AG612+AJ612+AM612+AP612+AS612+AV612+AY612+BB612+BE612+BH612),BK612)</f>
        <v>0</v>
      </c>
      <c r="S612" s="77">
        <f t="shared" si="2886"/>
        <v>2187.0300000000002</v>
      </c>
      <c r="T612" s="77">
        <f t="shared" si="2886"/>
        <v>0</v>
      </c>
      <c r="U612" s="79">
        <f t="shared" si="2784"/>
        <v>0</v>
      </c>
      <c r="V612" s="79">
        <f t="shared" si="2785"/>
        <v>0</v>
      </c>
      <c r="W612" s="79">
        <f t="shared" si="2786"/>
        <v>0</v>
      </c>
      <c r="X612" s="80">
        <f t="shared" ref="X612:Y612" si="2887">IF(O612&gt;0,O612/K612,0)</f>
        <v>0</v>
      </c>
      <c r="Y612" s="80">
        <f t="shared" si="2887"/>
        <v>0.66775667976514341</v>
      </c>
      <c r="Z612" s="80">
        <f t="shared" si="2391"/>
        <v>0</v>
      </c>
      <c r="AA612" s="81"/>
      <c r="AB612" s="81"/>
      <c r="AC612" s="81"/>
      <c r="AD612" s="81"/>
      <c r="AE612" s="128">
        <v>2187.0300000000002</v>
      </c>
      <c r="AF612" s="83"/>
      <c r="AG612" s="83"/>
      <c r="AH612" s="83"/>
      <c r="AI612" s="81"/>
      <c r="AJ612" s="81"/>
      <c r="AK612" s="81"/>
      <c r="AL612" s="81"/>
      <c r="AM612" s="81"/>
      <c r="AN612" s="81"/>
      <c r="AO612" s="81"/>
      <c r="AP612" s="81"/>
      <c r="AQ612" s="81"/>
      <c r="AR612" s="81"/>
      <c r="AS612" s="81"/>
      <c r="AT612" s="81"/>
      <c r="AU612" s="81"/>
      <c r="AV612" s="81"/>
      <c r="AW612" s="81"/>
      <c r="AX612" s="81"/>
      <c r="AY612" s="81"/>
      <c r="AZ612" s="81"/>
      <c r="BA612" s="81"/>
      <c r="BB612" s="81"/>
      <c r="BC612" s="81"/>
      <c r="BD612" s="81"/>
      <c r="BE612" s="81"/>
      <c r="BF612" s="81"/>
      <c r="BG612" s="81"/>
      <c r="BH612" s="81"/>
      <c r="BI612" s="81"/>
      <c r="BJ612" s="81"/>
      <c r="BK612" s="82">
        <v>0</v>
      </c>
      <c r="BL612" s="82">
        <v>2187.0300000000002</v>
      </c>
      <c r="BM612" s="82">
        <v>0</v>
      </c>
      <c r="BN612" s="81">
        <f t="shared" si="2788"/>
        <v>0</v>
      </c>
      <c r="BO612" s="75">
        <f t="shared" si="2789"/>
        <v>0</v>
      </c>
      <c r="BP612" s="81">
        <f t="shared" si="2790"/>
        <v>0</v>
      </c>
      <c r="BQ612" s="81">
        <f t="shared" si="2791"/>
        <v>0</v>
      </c>
      <c r="BR612" s="81">
        <f t="shared" si="2792"/>
        <v>0</v>
      </c>
      <c r="BS612" s="81">
        <f t="shared" si="2793"/>
        <v>0</v>
      </c>
      <c r="BT612" s="81">
        <f t="shared" si="2794"/>
        <v>0</v>
      </c>
      <c r="BU612" s="81">
        <f t="shared" si="2795"/>
        <v>0</v>
      </c>
      <c r="BV612" s="81">
        <f t="shared" si="2796"/>
        <v>0</v>
      </c>
      <c r="BW612" s="81">
        <f t="shared" si="2797"/>
        <v>0</v>
      </c>
      <c r="BX612" s="1"/>
      <c r="BY612" s="1"/>
      <c r="BZ612" s="1"/>
      <c r="CA612" s="1"/>
      <c r="CB612" s="1"/>
      <c r="CC612" s="1"/>
      <c r="CD612" s="1"/>
      <c r="CE612" s="1"/>
      <c r="CF612" s="1"/>
      <c r="CG612" s="1"/>
    </row>
    <row r="613" spans="1:85" ht="15.75" customHeight="1">
      <c r="A613" s="125" t="s">
        <v>937</v>
      </c>
      <c r="B613" s="115"/>
      <c r="C613" s="86" t="s">
        <v>938</v>
      </c>
      <c r="D613" s="135" t="s">
        <v>939</v>
      </c>
      <c r="E613" s="163">
        <v>8000</v>
      </c>
      <c r="F613" s="164"/>
      <c r="G613" s="71">
        <f t="shared" si="2781"/>
        <v>8000</v>
      </c>
      <c r="H613" s="70"/>
      <c r="I613" s="72">
        <f t="shared" si="2631"/>
        <v>0.54029250000000006</v>
      </c>
      <c r="J613" s="72">
        <f t="shared" si="2632"/>
        <v>0.54029250000000006</v>
      </c>
      <c r="K613" s="94">
        <v>4322.34</v>
      </c>
      <c r="L613" s="75"/>
      <c r="M613" s="81"/>
      <c r="N613" s="88"/>
      <c r="O613" s="77">
        <f t="shared" ref="O613:Q613" si="2888">AA613+AD613+AG613+AJ613+AM613+AP613+AS613+AV613+AY613+BB613+BE613+BH613</f>
        <v>4322.34</v>
      </c>
      <c r="P613" s="77">
        <f t="shared" si="2888"/>
        <v>0</v>
      </c>
      <c r="Q613" s="77">
        <f t="shared" si="2888"/>
        <v>0</v>
      </c>
      <c r="R613" s="77">
        <f t="shared" ref="R613:T613" si="2889">IF(BK613=0,SUM(AA613+AD613+AG613+AJ613+AM613+AP613+AS613+AV613+AY613+BB613+BE613+BH613),BK613)</f>
        <v>4322.34</v>
      </c>
      <c r="S613" s="77">
        <f t="shared" si="2889"/>
        <v>0</v>
      </c>
      <c r="T613" s="77">
        <f t="shared" si="2889"/>
        <v>0</v>
      </c>
      <c r="U613" s="79">
        <f t="shared" si="2784"/>
        <v>0</v>
      </c>
      <c r="V613" s="79">
        <f t="shared" si="2785"/>
        <v>0</v>
      </c>
      <c r="W613" s="79">
        <f t="shared" si="2786"/>
        <v>0</v>
      </c>
      <c r="X613" s="80">
        <f t="shared" ref="X613:Y613" si="2890">IF(O613&gt;0,O613/K613,0)</f>
        <v>1</v>
      </c>
      <c r="Y613" s="80">
        <f t="shared" si="2890"/>
        <v>0</v>
      </c>
      <c r="Z613" s="80">
        <f t="shared" si="2391"/>
        <v>0</v>
      </c>
      <c r="AA613" s="81"/>
      <c r="AB613" s="81"/>
      <c r="AC613" s="81"/>
      <c r="AD613" s="81"/>
      <c r="AE613" s="83"/>
      <c r="AF613" s="83"/>
      <c r="AG613" s="83"/>
      <c r="AH613" s="83"/>
      <c r="AI613" s="81"/>
      <c r="AJ613" s="82">
        <v>4322.34</v>
      </c>
      <c r="AK613" s="81"/>
      <c r="AL613" s="81"/>
      <c r="AM613" s="81"/>
      <c r="AN613" s="81"/>
      <c r="AO613" s="81"/>
      <c r="AP613" s="81"/>
      <c r="AQ613" s="81"/>
      <c r="AR613" s="81"/>
      <c r="AS613" s="81"/>
      <c r="AT613" s="81"/>
      <c r="AU613" s="81"/>
      <c r="AV613" s="81"/>
      <c r="AW613" s="81"/>
      <c r="AX613" s="81"/>
      <c r="AY613" s="81"/>
      <c r="AZ613" s="81"/>
      <c r="BA613" s="81"/>
      <c r="BB613" s="81"/>
      <c r="BC613" s="81"/>
      <c r="BD613" s="81"/>
      <c r="BE613" s="81"/>
      <c r="BF613" s="81"/>
      <c r="BG613" s="81"/>
      <c r="BH613" s="81"/>
      <c r="BI613" s="81"/>
      <c r="BJ613" s="81"/>
      <c r="BK613" s="82">
        <v>4322.34</v>
      </c>
      <c r="BL613" s="82">
        <v>0</v>
      </c>
      <c r="BM613" s="82">
        <v>0</v>
      </c>
      <c r="BN613" s="81">
        <f t="shared" si="2788"/>
        <v>0</v>
      </c>
      <c r="BO613" s="75">
        <f t="shared" si="2789"/>
        <v>0</v>
      </c>
      <c r="BP613" s="81">
        <f t="shared" si="2790"/>
        <v>0</v>
      </c>
      <c r="BQ613" s="81">
        <f t="shared" si="2791"/>
        <v>0</v>
      </c>
      <c r="BR613" s="81">
        <f t="shared" si="2792"/>
        <v>0</v>
      </c>
      <c r="BS613" s="81">
        <f t="shared" si="2793"/>
        <v>0</v>
      </c>
      <c r="BT613" s="81">
        <f t="shared" si="2794"/>
        <v>0</v>
      </c>
      <c r="BU613" s="81">
        <f t="shared" si="2795"/>
        <v>0</v>
      </c>
      <c r="BV613" s="81">
        <f t="shared" si="2796"/>
        <v>0</v>
      </c>
      <c r="BW613" s="81">
        <f t="shared" si="2797"/>
        <v>0</v>
      </c>
      <c r="BX613" s="1"/>
      <c r="BY613" s="1"/>
      <c r="BZ613" s="1"/>
      <c r="CA613" s="1"/>
      <c r="CB613" s="1"/>
      <c r="CC613" s="1"/>
      <c r="CD613" s="1"/>
      <c r="CE613" s="1"/>
      <c r="CF613" s="1"/>
      <c r="CG613" s="1"/>
    </row>
    <row r="614" spans="1:85" ht="15.75" customHeight="1">
      <c r="A614" s="84"/>
      <c r="B614" s="115"/>
      <c r="C614" s="86" t="s">
        <v>868</v>
      </c>
      <c r="D614" s="292" t="s">
        <v>940</v>
      </c>
      <c r="E614" s="163">
        <v>20000</v>
      </c>
      <c r="F614" s="164"/>
      <c r="G614" s="71">
        <f t="shared" si="2781"/>
        <v>20000</v>
      </c>
      <c r="H614" s="70"/>
      <c r="I614" s="72">
        <f t="shared" si="2631"/>
        <v>0</v>
      </c>
      <c r="J614" s="72">
        <f t="shared" si="2632"/>
        <v>0</v>
      </c>
      <c r="K614" s="76"/>
      <c r="L614" s="75"/>
      <c r="M614" s="81"/>
      <c r="N614" s="88"/>
      <c r="O614" s="77">
        <f t="shared" ref="O614:Q614" si="2891">AA614+AD614+AG614+AJ614+AM614+AP614+AS614+AV614+AY614+BB614+BE614+BH614</f>
        <v>0</v>
      </c>
      <c r="P614" s="77">
        <f t="shared" si="2891"/>
        <v>0</v>
      </c>
      <c r="Q614" s="77">
        <f t="shared" si="2891"/>
        <v>0</v>
      </c>
      <c r="R614" s="77">
        <f t="shared" ref="R614:T614" si="2892">IF(BK614=0,SUM(AA614+AD614+AG614+AJ614+AM614+AP614+AS614+AV614+AY614+BB614+BE614+BH614),BK614)</f>
        <v>0</v>
      </c>
      <c r="S614" s="77">
        <f t="shared" si="2892"/>
        <v>0</v>
      </c>
      <c r="T614" s="77">
        <f t="shared" si="2892"/>
        <v>0</v>
      </c>
      <c r="U614" s="79">
        <f t="shared" si="2784"/>
        <v>0</v>
      </c>
      <c r="V614" s="79">
        <f t="shared" si="2785"/>
        <v>0</v>
      </c>
      <c r="W614" s="79">
        <f t="shared" si="2786"/>
        <v>0</v>
      </c>
      <c r="X614" s="80">
        <f t="shared" ref="X614:Y614" si="2893">IF(O614&gt;0,O614/K614,0)</f>
        <v>0</v>
      </c>
      <c r="Y614" s="80">
        <f t="shared" si="2893"/>
        <v>0</v>
      </c>
      <c r="Z614" s="80">
        <f t="shared" si="2391"/>
        <v>0</v>
      </c>
      <c r="AA614" s="81"/>
      <c r="AB614" s="81"/>
      <c r="AC614" s="81"/>
      <c r="AD614" s="81"/>
      <c r="AE614" s="83"/>
      <c r="AF614" s="83"/>
      <c r="AG614" s="83"/>
      <c r="AH614" s="83"/>
      <c r="AI614" s="81"/>
      <c r="AJ614" s="81"/>
      <c r="AK614" s="81"/>
      <c r="AL614" s="81"/>
      <c r="AM614" s="81"/>
      <c r="AN614" s="81"/>
      <c r="AO614" s="81"/>
      <c r="AP614" s="81"/>
      <c r="AQ614" s="81"/>
      <c r="AR614" s="81"/>
      <c r="AS614" s="81"/>
      <c r="AT614" s="81"/>
      <c r="AU614" s="81"/>
      <c r="AV614" s="81"/>
      <c r="AW614" s="81"/>
      <c r="AX614" s="81"/>
      <c r="AY614" s="81"/>
      <c r="AZ614" s="81"/>
      <c r="BA614" s="81"/>
      <c r="BB614" s="81"/>
      <c r="BC614" s="81"/>
      <c r="BD614" s="81"/>
      <c r="BE614" s="81"/>
      <c r="BF614" s="81"/>
      <c r="BG614" s="81"/>
      <c r="BH614" s="81"/>
      <c r="BI614" s="81"/>
      <c r="BJ614" s="81"/>
      <c r="BK614" s="82">
        <v>0</v>
      </c>
      <c r="BL614" s="82">
        <v>0</v>
      </c>
      <c r="BM614" s="82">
        <v>0</v>
      </c>
      <c r="BN614" s="81">
        <f t="shared" si="2788"/>
        <v>0</v>
      </c>
      <c r="BO614" s="75">
        <f t="shared" si="2789"/>
        <v>0</v>
      </c>
      <c r="BP614" s="81">
        <f t="shared" si="2790"/>
        <v>0</v>
      </c>
      <c r="BQ614" s="81">
        <f t="shared" si="2791"/>
        <v>0</v>
      </c>
      <c r="BR614" s="81">
        <f t="shared" si="2792"/>
        <v>0</v>
      </c>
      <c r="BS614" s="81">
        <f t="shared" si="2793"/>
        <v>0</v>
      </c>
      <c r="BT614" s="81">
        <f t="shared" si="2794"/>
        <v>0</v>
      </c>
      <c r="BU614" s="81">
        <f t="shared" si="2795"/>
        <v>0</v>
      </c>
      <c r="BV614" s="81">
        <f t="shared" si="2796"/>
        <v>0</v>
      </c>
      <c r="BW614" s="81">
        <f t="shared" si="2797"/>
        <v>0</v>
      </c>
      <c r="BX614" s="1"/>
      <c r="BY614" s="1"/>
      <c r="BZ614" s="1"/>
      <c r="CA614" s="1"/>
      <c r="CB614" s="1"/>
      <c r="CC614" s="1"/>
      <c r="CD614" s="1"/>
      <c r="CE614" s="1"/>
      <c r="CF614" s="1"/>
      <c r="CG614" s="1"/>
    </row>
    <row r="615" spans="1:85" ht="15.75" customHeight="1">
      <c r="A615" s="84"/>
      <c r="B615" s="115" t="s">
        <v>941</v>
      </c>
      <c r="C615" s="86" t="s">
        <v>868</v>
      </c>
      <c r="D615" s="116" t="s">
        <v>942</v>
      </c>
      <c r="E615" s="163"/>
      <c r="F615" s="164"/>
      <c r="G615" s="71">
        <f t="shared" si="2781"/>
        <v>0</v>
      </c>
      <c r="H615" s="70"/>
      <c r="I615" s="72">
        <f t="shared" si="2631"/>
        <v>0</v>
      </c>
      <c r="J615" s="72">
        <f t="shared" si="2632"/>
        <v>0</v>
      </c>
      <c r="K615" s="76"/>
      <c r="L615" s="75">
        <v>115</v>
      </c>
      <c r="M615" s="81"/>
      <c r="N615" s="88"/>
      <c r="O615" s="77">
        <f t="shared" ref="O615:Q615" si="2894">AA615+AD615+AG615+AJ615+AM615+AP615+AS615+AV615+AY615+BB615+BE615+BH615</f>
        <v>0</v>
      </c>
      <c r="P615" s="77">
        <f t="shared" si="2894"/>
        <v>115</v>
      </c>
      <c r="Q615" s="77">
        <f t="shared" si="2894"/>
        <v>0</v>
      </c>
      <c r="R615" s="77">
        <f t="shared" ref="R615:T615" si="2895">IF(BK615=0,SUM(AA615+AD615+AG615+AJ615+AM615+AP615+AS615+AV615+AY615+BB615+BE615+BH615),BK615)</f>
        <v>0</v>
      </c>
      <c r="S615" s="77">
        <f t="shared" si="2895"/>
        <v>115</v>
      </c>
      <c r="T615" s="77">
        <f t="shared" si="2895"/>
        <v>0</v>
      </c>
      <c r="U615" s="79">
        <f t="shared" si="2784"/>
        <v>0</v>
      </c>
      <c r="V615" s="79">
        <f t="shared" si="2785"/>
        <v>0</v>
      </c>
      <c r="W615" s="79">
        <f t="shared" si="2786"/>
        <v>0</v>
      </c>
      <c r="X615" s="80">
        <f t="shared" ref="X615:Y615" si="2896">IF(O615&gt;0,O615/K615,0)</f>
        <v>0</v>
      </c>
      <c r="Y615" s="80">
        <f t="shared" si="2896"/>
        <v>1</v>
      </c>
      <c r="Z615" s="80">
        <f t="shared" si="2391"/>
        <v>0</v>
      </c>
      <c r="AA615" s="81"/>
      <c r="AB615" s="81"/>
      <c r="AC615" s="81"/>
      <c r="AD615" s="81"/>
      <c r="AE615" s="83"/>
      <c r="AF615" s="83"/>
      <c r="AG615" s="83"/>
      <c r="AH615" s="83"/>
      <c r="AI615" s="81"/>
      <c r="AJ615" s="81"/>
      <c r="AK615" s="81"/>
      <c r="AL615" s="81"/>
      <c r="AM615" s="81"/>
      <c r="AN615" s="82">
        <v>115</v>
      </c>
      <c r="AO615" s="81"/>
      <c r="AP615" s="81"/>
      <c r="AQ615" s="81"/>
      <c r="AR615" s="81"/>
      <c r="AS615" s="81"/>
      <c r="AT615" s="81"/>
      <c r="AU615" s="81"/>
      <c r="AV615" s="81"/>
      <c r="AW615" s="81"/>
      <c r="AX615" s="81"/>
      <c r="AY615" s="81"/>
      <c r="AZ615" s="81"/>
      <c r="BA615" s="81"/>
      <c r="BB615" s="81"/>
      <c r="BC615" s="81"/>
      <c r="BD615" s="81"/>
      <c r="BE615" s="81"/>
      <c r="BF615" s="81"/>
      <c r="BG615" s="81"/>
      <c r="BH615" s="81"/>
      <c r="BI615" s="81"/>
      <c r="BJ615" s="81"/>
      <c r="BK615" s="82">
        <v>0</v>
      </c>
      <c r="BL615" s="82">
        <v>115</v>
      </c>
      <c r="BM615" s="82">
        <v>0</v>
      </c>
      <c r="BN615" s="81">
        <f t="shared" si="2788"/>
        <v>0</v>
      </c>
      <c r="BO615" s="75">
        <f t="shared" si="2789"/>
        <v>0</v>
      </c>
      <c r="BP615" s="81">
        <f t="shared" si="2790"/>
        <v>0</v>
      </c>
      <c r="BQ615" s="81">
        <f t="shared" si="2791"/>
        <v>0</v>
      </c>
      <c r="BR615" s="81">
        <f t="shared" si="2792"/>
        <v>0</v>
      </c>
      <c r="BS615" s="81">
        <f t="shared" si="2793"/>
        <v>0</v>
      </c>
      <c r="BT615" s="81">
        <f t="shared" si="2794"/>
        <v>0</v>
      </c>
      <c r="BU615" s="81">
        <f t="shared" si="2795"/>
        <v>0</v>
      </c>
      <c r="BV615" s="81">
        <f t="shared" si="2796"/>
        <v>0</v>
      </c>
      <c r="BW615" s="81">
        <f t="shared" si="2797"/>
        <v>0</v>
      </c>
      <c r="BX615" s="1"/>
      <c r="BY615" s="1"/>
      <c r="BZ615" s="1"/>
      <c r="CA615" s="1"/>
      <c r="CB615" s="1"/>
      <c r="CC615" s="1"/>
      <c r="CD615" s="1"/>
      <c r="CE615" s="1"/>
      <c r="CF615" s="1"/>
      <c r="CG615" s="1"/>
    </row>
    <row r="616" spans="1:85" ht="15.75" customHeight="1">
      <c r="A616" s="89" t="s">
        <v>943</v>
      </c>
      <c r="B616" s="115"/>
      <c r="C616" s="86" t="s">
        <v>137</v>
      </c>
      <c r="D616" s="135" t="s">
        <v>944</v>
      </c>
      <c r="E616" s="163">
        <f>2600+5000</f>
        <v>7600</v>
      </c>
      <c r="F616" s="164"/>
      <c r="G616" s="71">
        <f t="shared" si="2781"/>
        <v>7600</v>
      </c>
      <c r="H616" s="70"/>
      <c r="I616" s="72">
        <f t="shared" si="2631"/>
        <v>0.55105263157894735</v>
      </c>
      <c r="J616" s="72">
        <f t="shared" si="2632"/>
        <v>0.55105263157894735</v>
      </c>
      <c r="K616" s="94">
        <v>4188</v>
      </c>
      <c r="L616" s="75"/>
      <c r="M616" s="81"/>
      <c r="N616" s="88"/>
      <c r="O616" s="77">
        <f t="shared" ref="O616:Q616" si="2897">AA616+AD616+AG616+AJ616+AM616+AP616+AS616+AV616+AY616+BB616+BE616+BH616</f>
        <v>4188</v>
      </c>
      <c r="P616" s="77">
        <f t="shared" si="2897"/>
        <v>0</v>
      </c>
      <c r="Q616" s="77">
        <f t="shared" si="2897"/>
        <v>0</v>
      </c>
      <c r="R616" s="77">
        <f t="shared" ref="R616:T616" si="2898">IF(BK616=0,SUM(AA616+AD616+AG616+AJ616+AM616+AP616+AS616+AV616+AY616+BB616+BE616+BH616),BK616)</f>
        <v>4188</v>
      </c>
      <c r="S616" s="77">
        <f t="shared" si="2898"/>
        <v>0</v>
      </c>
      <c r="T616" s="77">
        <f t="shared" si="2898"/>
        <v>0</v>
      </c>
      <c r="U616" s="79">
        <f t="shared" si="2784"/>
        <v>0</v>
      </c>
      <c r="V616" s="79">
        <f t="shared" si="2785"/>
        <v>0</v>
      </c>
      <c r="W616" s="79">
        <f t="shared" si="2786"/>
        <v>0</v>
      </c>
      <c r="X616" s="80">
        <f t="shared" ref="X616:Y616" si="2899">IF(O616&gt;0,O616/K616,0)</f>
        <v>1</v>
      </c>
      <c r="Y616" s="80">
        <f t="shared" si="2899"/>
        <v>0</v>
      </c>
      <c r="Z616" s="80">
        <f t="shared" si="2391"/>
        <v>0</v>
      </c>
      <c r="AA616" s="81"/>
      <c r="AB616" s="81"/>
      <c r="AC616" s="81"/>
      <c r="AD616" s="81"/>
      <c r="AE616" s="83"/>
      <c r="AF616" s="83"/>
      <c r="AG616" s="83"/>
      <c r="AH616" s="83"/>
      <c r="AI616" s="81"/>
      <c r="AJ616" s="81"/>
      <c r="AK616" s="81"/>
      <c r="AL616" s="81"/>
      <c r="AM616" s="81"/>
      <c r="AN616" s="81"/>
      <c r="AO616" s="81"/>
      <c r="AP616" s="81"/>
      <c r="AQ616" s="81"/>
      <c r="AR616" s="81"/>
      <c r="AS616" s="81"/>
      <c r="AT616" s="81"/>
      <c r="AU616" s="81"/>
      <c r="AV616" s="81"/>
      <c r="AW616" s="81"/>
      <c r="AX616" s="81"/>
      <c r="AY616" s="82">
        <v>4188</v>
      </c>
      <c r="AZ616" s="81"/>
      <c r="BA616" s="81"/>
      <c r="BB616" s="81"/>
      <c r="BC616" s="81"/>
      <c r="BD616" s="81"/>
      <c r="BE616" s="81"/>
      <c r="BF616" s="81"/>
      <c r="BG616" s="81"/>
      <c r="BH616" s="81"/>
      <c r="BI616" s="81"/>
      <c r="BJ616" s="81"/>
      <c r="BK616" s="82">
        <v>4188</v>
      </c>
      <c r="BL616" s="82">
        <v>0</v>
      </c>
      <c r="BM616" s="82">
        <v>0</v>
      </c>
      <c r="BN616" s="81">
        <f t="shared" si="2788"/>
        <v>0</v>
      </c>
      <c r="BO616" s="75">
        <f t="shared" si="2789"/>
        <v>0</v>
      </c>
      <c r="BP616" s="81">
        <f t="shared" si="2790"/>
        <v>0</v>
      </c>
      <c r="BQ616" s="81">
        <f t="shared" si="2791"/>
        <v>0</v>
      </c>
      <c r="BR616" s="81">
        <f t="shared" si="2792"/>
        <v>0</v>
      </c>
      <c r="BS616" s="81">
        <f t="shared" si="2793"/>
        <v>0</v>
      </c>
      <c r="BT616" s="81">
        <f t="shared" si="2794"/>
        <v>0</v>
      </c>
      <c r="BU616" s="81">
        <f t="shared" si="2795"/>
        <v>0</v>
      </c>
      <c r="BV616" s="81">
        <f t="shared" si="2796"/>
        <v>0</v>
      </c>
      <c r="BW616" s="81">
        <f t="shared" si="2797"/>
        <v>0</v>
      </c>
      <c r="BX616" s="1"/>
      <c r="BY616" s="1"/>
      <c r="BZ616" s="1"/>
      <c r="CA616" s="1"/>
      <c r="CB616" s="1"/>
      <c r="CC616" s="1"/>
      <c r="CD616" s="1"/>
      <c r="CE616" s="1"/>
      <c r="CF616" s="1"/>
      <c r="CG616" s="1"/>
    </row>
    <row r="617" spans="1:85" ht="15.75" customHeight="1">
      <c r="A617" s="145"/>
      <c r="B617" s="132" t="s">
        <v>945</v>
      </c>
      <c r="C617" s="86" t="s">
        <v>137</v>
      </c>
      <c r="D617" s="292" t="s">
        <v>946</v>
      </c>
      <c r="E617" s="163"/>
      <c r="F617" s="164"/>
      <c r="G617" s="71">
        <f t="shared" si="2781"/>
        <v>0</v>
      </c>
      <c r="H617" s="70"/>
      <c r="I617" s="72">
        <f t="shared" si="2631"/>
        <v>0</v>
      </c>
      <c r="J617" s="72">
        <f t="shared" si="2632"/>
        <v>0</v>
      </c>
      <c r="K617" s="76"/>
      <c r="L617" s="75">
        <v>9480</v>
      </c>
      <c r="M617" s="81"/>
      <c r="N617" s="88"/>
      <c r="O617" s="77">
        <f t="shared" ref="O617:Q617" si="2900">AA617+AD617+AG617+AJ617+AM617+AP617+AS617+AV617+AY617+BB617+BE617+BH617</f>
        <v>0</v>
      </c>
      <c r="P617" s="77">
        <f t="shared" si="2900"/>
        <v>9480</v>
      </c>
      <c r="Q617" s="77">
        <f t="shared" si="2900"/>
        <v>0</v>
      </c>
      <c r="R617" s="77">
        <f t="shared" ref="R617:T617" si="2901">IF(BK617=0,SUM(AA617+AD617+AG617+AJ617+AM617+AP617+AS617+AV617+AY617+BB617+BE617+BH617),BK617)</f>
        <v>0</v>
      </c>
      <c r="S617" s="77">
        <f t="shared" si="2901"/>
        <v>9480</v>
      </c>
      <c r="T617" s="77">
        <f t="shared" si="2901"/>
        <v>0</v>
      </c>
      <c r="U617" s="79">
        <f t="shared" si="2784"/>
        <v>0</v>
      </c>
      <c r="V617" s="79">
        <f t="shared" si="2785"/>
        <v>0</v>
      </c>
      <c r="W617" s="79">
        <f t="shared" si="2786"/>
        <v>0</v>
      </c>
      <c r="X617" s="80">
        <f t="shared" ref="X617:Y617" si="2902">IF(O617&gt;0,O617/K617,0)</f>
        <v>0</v>
      </c>
      <c r="Y617" s="80">
        <f t="shared" si="2902"/>
        <v>1</v>
      </c>
      <c r="Z617" s="80">
        <f t="shared" si="2391"/>
        <v>0</v>
      </c>
      <c r="AA617" s="81"/>
      <c r="AB617" s="82">
        <v>9480</v>
      </c>
      <c r="AC617" s="81"/>
      <c r="AD617" s="81"/>
      <c r="AE617" s="83"/>
      <c r="AF617" s="83"/>
      <c r="AG617" s="83"/>
      <c r="AH617" s="83"/>
      <c r="AI617" s="81"/>
      <c r="AJ617" s="81"/>
      <c r="AK617" s="81"/>
      <c r="AL617" s="81"/>
      <c r="AM617" s="81"/>
      <c r="AN617" s="81"/>
      <c r="AO617" s="81"/>
      <c r="AP617" s="81"/>
      <c r="AQ617" s="81"/>
      <c r="AR617" s="81"/>
      <c r="AS617" s="81"/>
      <c r="AT617" s="81"/>
      <c r="AU617" s="81"/>
      <c r="AV617" s="81"/>
      <c r="AW617" s="81"/>
      <c r="AX617" s="81"/>
      <c r="AY617" s="81"/>
      <c r="AZ617" s="81"/>
      <c r="BA617" s="81"/>
      <c r="BB617" s="81"/>
      <c r="BC617" s="81"/>
      <c r="BD617" s="81"/>
      <c r="BE617" s="81"/>
      <c r="BF617" s="81"/>
      <c r="BG617" s="81"/>
      <c r="BH617" s="81"/>
      <c r="BI617" s="81"/>
      <c r="BJ617" s="81"/>
      <c r="BK617" s="82">
        <v>0</v>
      </c>
      <c r="BL617" s="82">
        <v>9480</v>
      </c>
      <c r="BM617" s="82">
        <v>0</v>
      </c>
      <c r="BN617" s="81">
        <f t="shared" si="2788"/>
        <v>0</v>
      </c>
      <c r="BO617" s="75">
        <f t="shared" si="2789"/>
        <v>0</v>
      </c>
      <c r="BP617" s="81">
        <f t="shared" si="2790"/>
        <v>0</v>
      </c>
      <c r="BQ617" s="81">
        <f t="shared" si="2791"/>
        <v>0</v>
      </c>
      <c r="BR617" s="81">
        <f t="shared" si="2792"/>
        <v>0</v>
      </c>
      <c r="BS617" s="81">
        <f t="shared" si="2793"/>
        <v>0</v>
      </c>
      <c r="BT617" s="81">
        <f t="shared" si="2794"/>
        <v>0</v>
      </c>
      <c r="BU617" s="81">
        <f t="shared" si="2795"/>
        <v>0</v>
      </c>
      <c r="BV617" s="81">
        <f t="shared" si="2796"/>
        <v>0</v>
      </c>
      <c r="BW617" s="81">
        <f t="shared" si="2797"/>
        <v>0</v>
      </c>
      <c r="BX617" s="1"/>
      <c r="BY617" s="1"/>
      <c r="BZ617" s="1"/>
      <c r="CA617" s="1"/>
      <c r="CB617" s="1"/>
      <c r="CC617" s="1"/>
      <c r="CD617" s="1"/>
      <c r="CE617" s="1"/>
      <c r="CF617" s="1"/>
      <c r="CG617" s="1"/>
    </row>
    <row r="618" spans="1:85" ht="15.75" customHeight="1">
      <c r="A618" s="125" t="s">
        <v>947</v>
      </c>
      <c r="B618" s="283"/>
      <c r="C618" s="86" t="s">
        <v>137</v>
      </c>
      <c r="D618" s="135" t="s">
        <v>948</v>
      </c>
      <c r="E618" s="163"/>
      <c r="F618" s="164"/>
      <c r="G618" s="71">
        <f t="shared" si="2781"/>
        <v>0</v>
      </c>
      <c r="H618" s="70"/>
      <c r="I618" s="72">
        <f t="shared" si="2631"/>
        <v>0</v>
      </c>
      <c r="J618" s="72">
        <f t="shared" si="2632"/>
        <v>0</v>
      </c>
      <c r="K618" s="94">
        <v>3520</v>
      </c>
      <c r="L618" s="75"/>
      <c r="M618" s="81"/>
      <c r="N618" s="88"/>
      <c r="O618" s="77">
        <f t="shared" ref="O618:Q618" si="2903">AA618+AD618+AG618+AJ618+AM618+AP618+AS618+AV618+AY618+BB618+BE618+BH618</f>
        <v>0</v>
      </c>
      <c r="P618" s="77">
        <f t="shared" si="2903"/>
        <v>0</v>
      </c>
      <c r="Q618" s="77">
        <f t="shared" si="2903"/>
        <v>0</v>
      </c>
      <c r="R618" s="77">
        <f t="shared" ref="R618:T618" si="2904">IF(BK618=0,SUM(AA618+AD618+AG618+AJ618+AM618+AP618+AS618+AV618+AY618+BB618+BE618+BH618),BK618)</f>
        <v>0</v>
      </c>
      <c r="S618" s="77">
        <f t="shared" si="2904"/>
        <v>0</v>
      </c>
      <c r="T618" s="77">
        <f t="shared" si="2904"/>
        <v>0</v>
      </c>
      <c r="U618" s="78">
        <f t="shared" si="2784"/>
        <v>3520</v>
      </c>
      <c r="V618" s="79">
        <f t="shared" si="2785"/>
        <v>0</v>
      </c>
      <c r="W618" s="79">
        <f t="shared" si="2786"/>
        <v>0</v>
      </c>
      <c r="X618" s="80">
        <f t="shared" ref="X618:Y618" si="2905">IF(O618&gt;0,O618/K618,0)</f>
        <v>0</v>
      </c>
      <c r="Y618" s="80">
        <f t="shared" si="2905"/>
        <v>0</v>
      </c>
      <c r="Z618" s="80">
        <f t="shared" si="2391"/>
        <v>0</v>
      </c>
      <c r="AA618" s="81"/>
      <c r="AB618" s="81"/>
      <c r="AC618" s="81"/>
      <c r="AD618" s="81"/>
      <c r="AE618" s="83"/>
      <c r="AF618" s="83"/>
      <c r="AG618" s="83"/>
      <c r="AH618" s="83"/>
      <c r="AI618" s="81"/>
      <c r="AJ618" s="81"/>
      <c r="AK618" s="81"/>
      <c r="AL618" s="81"/>
      <c r="AM618" s="81"/>
      <c r="AN618" s="81"/>
      <c r="AO618" s="81"/>
      <c r="AP618" s="81"/>
      <c r="AQ618" s="81"/>
      <c r="AR618" s="81"/>
      <c r="AS618" s="81"/>
      <c r="AT618" s="81"/>
      <c r="AU618" s="81"/>
      <c r="AV618" s="81"/>
      <c r="AW618" s="81"/>
      <c r="AX618" s="81"/>
      <c r="AY618" s="81"/>
      <c r="AZ618" s="81"/>
      <c r="BA618" s="81"/>
      <c r="BB618" s="81"/>
      <c r="BC618" s="81"/>
      <c r="BD618" s="81"/>
      <c r="BE618" s="81"/>
      <c r="BF618" s="81"/>
      <c r="BG618" s="81"/>
      <c r="BH618" s="81"/>
      <c r="BI618" s="81"/>
      <c r="BJ618" s="81"/>
      <c r="BK618" s="82">
        <v>0</v>
      </c>
      <c r="BL618" s="82">
        <v>0</v>
      </c>
      <c r="BM618" s="82">
        <v>0</v>
      </c>
      <c r="BN618" s="81">
        <f t="shared" si="2788"/>
        <v>0</v>
      </c>
      <c r="BO618" s="75">
        <f t="shared" si="2789"/>
        <v>0</v>
      </c>
      <c r="BP618" s="81">
        <f t="shared" si="2790"/>
        <v>0</v>
      </c>
      <c r="BQ618" s="81">
        <f t="shared" si="2791"/>
        <v>3520</v>
      </c>
      <c r="BR618" s="81">
        <f t="shared" si="2792"/>
        <v>0</v>
      </c>
      <c r="BS618" s="81">
        <f t="shared" si="2793"/>
        <v>3520</v>
      </c>
      <c r="BT618" s="81">
        <f t="shared" si="2794"/>
        <v>0</v>
      </c>
      <c r="BU618" s="81">
        <f t="shared" si="2795"/>
        <v>0</v>
      </c>
      <c r="BV618" s="81">
        <f t="shared" si="2796"/>
        <v>3520</v>
      </c>
      <c r="BW618" s="81">
        <f t="shared" si="2797"/>
        <v>3520</v>
      </c>
      <c r="BX618" s="1"/>
      <c r="BY618" s="1"/>
      <c r="BZ618" s="1"/>
      <c r="CA618" s="1"/>
      <c r="CB618" s="1"/>
      <c r="CC618" s="1"/>
      <c r="CD618" s="1"/>
      <c r="CE618" s="1"/>
      <c r="CF618" s="1"/>
      <c r="CG618" s="1"/>
    </row>
    <row r="619" spans="1:85" ht="15.75" customHeight="1">
      <c r="A619" s="125" t="s">
        <v>949</v>
      </c>
      <c r="B619" s="283"/>
      <c r="C619" s="86" t="s">
        <v>137</v>
      </c>
      <c r="D619" s="135" t="s">
        <v>950</v>
      </c>
      <c r="E619" s="163"/>
      <c r="F619" s="164"/>
      <c r="G619" s="71">
        <f t="shared" si="2781"/>
        <v>0</v>
      </c>
      <c r="H619" s="70"/>
      <c r="I619" s="72">
        <f t="shared" si="2631"/>
        <v>0</v>
      </c>
      <c r="J619" s="72">
        <f t="shared" si="2632"/>
        <v>0</v>
      </c>
      <c r="K619" s="94">
        <v>6488.4</v>
      </c>
      <c r="L619" s="75"/>
      <c r="M619" s="81"/>
      <c r="N619" s="88"/>
      <c r="O619" s="77">
        <f t="shared" ref="O619:Q619" si="2906">AA619+AD619+AG619+AJ619+AM619+AP619+AS619+AV619+AY619+BB619+BE619+BH619</f>
        <v>6488.4</v>
      </c>
      <c r="P619" s="77">
        <f t="shared" si="2906"/>
        <v>0</v>
      </c>
      <c r="Q619" s="77">
        <f t="shared" si="2906"/>
        <v>0</v>
      </c>
      <c r="R619" s="77">
        <f t="shared" ref="R619:T619" si="2907">IF(BK619=0,SUM(AA619+AD619+AG619+AJ619+AM619+AP619+AS619+AV619+AY619+BB619+BE619+BH619),BK619)</f>
        <v>6488.4</v>
      </c>
      <c r="S619" s="77">
        <f t="shared" si="2907"/>
        <v>0</v>
      </c>
      <c r="T619" s="77">
        <f t="shared" si="2907"/>
        <v>0</v>
      </c>
      <c r="U619" s="78">
        <f t="shared" si="2784"/>
        <v>0</v>
      </c>
      <c r="V619" s="79">
        <f t="shared" si="2785"/>
        <v>0</v>
      </c>
      <c r="W619" s="79">
        <f t="shared" si="2786"/>
        <v>0</v>
      </c>
      <c r="X619" s="80">
        <f t="shared" ref="X619:Y619" si="2908">IF(O619&gt;0,O619/K619,0)</f>
        <v>1</v>
      </c>
      <c r="Y619" s="80">
        <f t="shared" si="2908"/>
        <v>0</v>
      </c>
      <c r="Z619" s="80">
        <f t="shared" si="2391"/>
        <v>0</v>
      </c>
      <c r="AA619" s="81"/>
      <c r="AB619" s="81"/>
      <c r="AC619" s="81"/>
      <c r="AD619" s="81"/>
      <c r="AE619" s="83"/>
      <c r="AF619" s="83"/>
      <c r="AG619" s="83"/>
      <c r="AH619" s="83"/>
      <c r="AI619" s="81"/>
      <c r="AJ619" s="81"/>
      <c r="AK619" s="81"/>
      <c r="AL619" s="81"/>
      <c r="AM619" s="81"/>
      <c r="AN619" s="81"/>
      <c r="AO619" s="81"/>
      <c r="AP619" s="81"/>
      <c r="AQ619" s="81"/>
      <c r="AR619" s="81"/>
      <c r="AS619" s="81"/>
      <c r="AT619" s="81"/>
      <c r="AU619" s="81"/>
      <c r="AV619" s="81"/>
      <c r="AW619" s="81"/>
      <c r="AX619" s="81"/>
      <c r="AY619" s="81"/>
      <c r="AZ619" s="81"/>
      <c r="BA619" s="81"/>
      <c r="BB619" s="81"/>
      <c r="BC619" s="81"/>
      <c r="BD619" s="81"/>
      <c r="BE619" s="82">
        <v>6488.4</v>
      </c>
      <c r="BF619" s="81"/>
      <c r="BG619" s="81"/>
      <c r="BH619" s="81"/>
      <c r="BI619" s="81"/>
      <c r="BJ619" s="81"/>
      <c r="BK619" s="82">
        <v>6488.4</v>
      </c>
      <c r="BL619" s="82">
        <v>0</v>
      </c>
      <c r="BM619" s="82">
        <v>0</v>
      </c>
      <c r="BN619" s="81">
        <f t="shared" si="2788"/>
        <v>0</v>
      </c>
      <c r="BO619" s="75">
        <f t="shared" si="2789"/>
        <v>0</v>
      </c>
      <c r="BP619" s="81">
        <f t="shared" si="2790"/>
        <v>0</v>
      </c>
      <c r="BQ619" s="81">
        <f t="shared" si="2791"/>
        <v>0</v>
      </c>
      <c r="BR619" s="81">
        <f t="shared" si="2792"/>
        <v>0</v>
      </c>
      <c r="BS619" s="81">
        <f t="shared" si="2793"/>
        <v>0</v>
      </c>
      <c r="BT619" s="81">
        <f t="shared" si="2794"/>
        <v>0</v>
      </c>
      <c r="BU619" s="81">
        <f t="shared" si="2795"/>
        <v>0</v>
      </c>
      <c r="BV619" s="81">
        <f t="shared" si="2796"/>
        <v>0</v>
      </c>
      <c r="BW619" s="81">
        <f t="shared" si="2797"/>
        <v>0</v>
      </c>
      <c r="BX619" s="1"/>
      <c r="BY619" s="1"/>
      <c r="BZ619" s="1"/>
      <c r="CA619" s="1"/>
      <c r="CB619" s="1"/>
      <c r="CC619" s="1"/>
      <c r="CD619" s="1"/>
      <c r="CE619" s="1"/>
      <c r="CF619" s="1"/>
      <c r="CG619" s="1"/>
    </row>
    <row r="620" spans="1:85" ht="15.75" customHeight="1">
      <c r="A620" s="84"/>
      <c r="B620" s="115"/>
      <c r="C620" s="86" t="s">
        <v>146</v>
      </c>
      <c r="D620" s="87" t="s">
        <v>841</v>
      </c>
      <c r="E620" s="163">
        <v>5000</v>
      </c>
      <c r="F620" s="164"/>
      <c r="G620" s="71">
        <f t="shared" si="2781"/>
        <v>5000</v>
      </c>
      <c r="H620" s="70"/>
      <c r="I620" s="72">
        <f t="shared" si="2631"/>
        <v>0</v>
      </c>
      <c r="J620" s="72">
        <f t="shared" si="2632"/>
        <v>0</v>
      </c>
      <c r="K620" s="76"/>
      <c r="L620" s="75"/>
      <c r="M620" s="81"/>
      <c r="N620" s="88"/>
      <c r="O620" s="77">
        <f t="shared" ref="O620:Q620" si="2909">AA620+AD620+AG620+AJ620+AM620+AP620+AS620+AV620+AY620+BB620+BE620+BH620</f>
        <v>0</v>
      </c>
      <c r="P620" s="77">
        <f t="shared" si="2909"/>
        <v>0</v>
      </c>
      <c r="Q620" s="77">
        <f t="shared" si="2909"/>
        <v>0</v>
      </c>
      <c r="R620" s="77">
        <f t="shared" ref="R620:T620" si="2910">IF(BK620=0,SUM(AA620+AD620+AG620+AJ620+AM620+AP620+AS620+AV620+AY620+BB620+BE620+BH620),BK620)</f>
        <v>0</v>
      </c>
      <c r="S620" s="77">
        <f t="shared" si="2910"/>
        <v>0</v>
      </c>
      <c r="T620" s="77">
        <f t="shared" si="2910"/>
        <v>0</v>
      </c>
      <c r="U620" s="79">
        <f t="shared" si="2784"/>
        <v>0</v>
      </c>
      <c r="V620" s="79">
        <f t="shared" si="2785"/>
        <v>0</v>
      </c>
      <c r="W620" s="79">
        <f t="shared" si="2786"/>
        <v>0</v>
      </c>
      <c r="X620" s="80">
        <f t="shared" ref="X620:Y620" si="2911">IF(O620&gt;0,O620/K620,0)</f>
        <v>0</v>
      </c>
      <c r="Y620" s="80">
        <f t="shared" si="2911"/>
        <v>0</v>
      </c>
      <c r="Z620" s="80">
        <f t="shared" si="2391"/>
        <v>0</v>
      </c>
      <c r="AA620" s="81"/>
      <c r="AB620" s="81"/>
      <c r="AC620" s="81"/>
      <c r="AD620" s="81"/>
      <c r="AE620" s="83"/>
      <c r="AF620" s="83"/>
      <c r="AG620" s="83"/>
      <c r="AH620" s="83"/>
      <c r="AI620" s="81"/>
      <c r="AJ620" s="81"/>
      <c r="AK620" s="81"/>
      <c r="AL620" s="81"/>
      <c r="AM620" s="81"/>
      <c r="AN620" s="81"/>
      <c r="AO620" s="81"/>
      <c r="AP620" s="81"/>
      <c r="AQ620" s="81"/>
      <c r="AR620" s="81"/>
      <c r="AS620" s="81"/>
      <c r="AT620" s="81"/>
      <c r="AU620" s="81"/>
      <c r="AV620" s="81"/>
      <c r="AW620" s="81"/>
      <c r="AX620" s="81"/>
      <c r="AY620" s="81"/>
      <c r="AZ620" s="81"/>
      <c r="BA620" s="81"/>
      <c r="BB620" s="81"/>
      <c r="BC620" s="81"/>
      <c r="BD620" s="81"/>
      <c r="BE620" s="81"/>
      <c r="BF620" s="81"/>
      <c r="BG620" s="81"/>
      <c r="BH620" s="81"/>
      <c r="BI620" s="81"/>
      <c r="BJ620" s="81"/>
      <c r="BK620" s="82">
        <v>0</v>
      </c>
      <c r="BL620" s="82">
        <v>0</v>
      </c>
      <c r="BM620" s="82">
        <v>0</v>
      </c>
      <c r="BN620" s="81">
        <f t="shared" si="2788"/>
        <v>0</v>
      </c>
      <c r="BO620" s="75">
        <f t="shared" si="2789"/>
        <v>0</v>
      </c>
      <c r="BP620" s="81">
        <f t="shared" si="2790"/>
        <v>0</v>
      </c>
      <c r="BQ620" s="81">
        <f t="shared" si="2791"/>
        <v>0</v>
      </c>
      <c r="BR620" s="81">
        <f t="shared" si="2792"/>
        <v>0</v>
      </c>
      <c r="BS620" s="81">
        <f t="shared" si="2793"/>
        <v>0</v>
      </c>
      <c r="BT620" s="81">
        <f t="shared" si="2794"/>
        <v>0</v>
      </c>
      <c r="BU620" s="81">
        <f t="shared" si="2795"/>
        <v>0</v>
      </c>
      <c r="BV620" s="81">
        <f t="shared" si="2796"/>
        <v>0</v>
      </c>
      <c r="BW620" s="81">
        <f t="shared" si="2797"/>
        <v>0</v>
      </c>
      <c r="BX620" s="1"/>
      <c r="BY620" s="1"/>
      <c r="BZ620" s="1"/>
      <c r="CA620" s="1"/>
      <c r="CB620" s="1"/>
      <c r="CC620" s="1"/>
      <c r="CD620" s="1"/>
      <c r="CE620" s="1"/>
      <c r="CF620" s="1"/>
      <c r="CG620" s="1"/>
    </row>
    <row r="621" spans="1:85" ht="15.75" customHeight="1">
      <c r="A621" s="193"/>
      <c r="B621" s="85" t="s">
        <v>951</v>
      </c>
      <c r="C621" s="86" t="s">
        <v>146</v>
      </c>
      <c r="D621" s="87" t="s">
        <v>952</v>
      </c>
      <c r="E621" s="163"/>
      <c r="F621" s="164"/>
      <c r="G621" s="71">
        <f t="shared" si="2781"/>
        <v>0</v>
      </c>
      <c r="H621" s="70"/>
      <c r="I621" s="72">
        <f t="shared" si="2631"/>
        <v>0</v>
      </c>
      <c r="J621" s="72">
        <f t="shared" si="2632"/>
        <v>0</v>
      </c>
      <c r="K621" s="76"/>
      <c r="L621" s="75">
        <v>270.5</v>
      </c>
      <c r="M621" s="81"/>
      <c r="N621" s="88"/>
      <c r="O621" s="77">
        <f t="shared" ref="O621:Q621" si="2912">AA621+AD621+AG621+AJ621+AM621+AP621+AS621+AV621+AY621+BB621+BE621+BH621</f>
        <v>0</v>
      </c>
      <c r="P621" s="77">
        <f t="shared" si="2912"/>
        <v>270.5</v>
      </c>
      <c r="Q621" s="77">
        <f t="shared" si="2912"/>
        <v>0</v>
      </c>
      <c r="R621" s="77">
        <f t="shared" ref="R621:T621" si="2913">IF(BK621=0,SUM(AA621+AD621+AG621+AJ621+AM621+AP621+AS621+AV621+AY621+BB621+BE621+BH621),BK621)</f>
        <v>0</v>
      </c>
      <c r="S621" s="77">
        <f t="shared" si="2913"/>
        <v>270.5</v>
      </c>
      <c r="T621" s="77">
        <f t="shared" si="2913"/>
        <v>0</v>
      </c>
      <c r="U621" s="79">
        <f t="shared" si="2784"/>
        <v>0</v>
      </c>
      <c r="V621" s="79">
        <f t="shared" si="2785"/>
        <v>0</v>
      </c>
      <c r="W621" s="79">
        <f t="shared" si="2786"/>
        <v>0</v>
      </c>
      <c r="X621" s="80">
        <f t="shared" ref="X621:Y621" si="2914">IF(O621&gt;0,O621/K621,0)</f>
        <v>0</v>
      </c>
      <c r="Y621" s="80">
        <f t="shared" si="2914"/>
        <v>1</v>
      </c>
      <c r="Z621" s="80">
        <f t="shared" si="2391"/>
        <v>0</v>
      </c>
      <c r="AA621" s="81"/>
      <c r="AB621" s="81"/>
      <c r="AC621" s="81"/>
      <c r="AD621" s="81"/>
      <c r="AE621" s="83"/>
      <c r="AF621" s="83"/>
      <c r="AG621" s="83"/>
      <c r="AH621" s="83"/>
      <c r="AI621" s="81"/>
      <c r="AJ621" s="81"/>
      <c r="AK621" s="81"/>
      <c r="AL621" s="81"/>
      <c r="AM621" s="81"/>
      <c r="AN621" s="81"/>
      <c r="AO621" s="81"/>
      <c r="AP621" s="81"/>
      <c r="AQ621" s="82">
        <v>270.5</v>
      </c>
      <c r="AR621" s="81"/>
      <c r="AS621" s="81"/>
      <c r="AT621" s="81"/>
      <c r="AU621" s="81"/>
      <c r="AV621" s="81"/>
      <c r="AW621" s="81"/>
      <c r="AX621" s="81"/>
      <c r="AY621" s="81"/>
      <c r="AZ621" s="81"/>
      <c r="BA621" s="81"/>
      <c r="BB621" s="81"/>
      <c r="BC621" s="81"/>
      <c r="BD621" s="81"/>
      <c r="BE621" s="81"/>
      <c r="BF621" s="81"/>
      <c r="BG621" s="81"/>
      <c r="BH621" s="81"/>
      <c r="BI621" s="81"/>
      <c r="BJ621" s="81"/>
      <c r="BK621" s="82">
        <v>0</v>
      </c>
      <c r="BL621" s="82">
        <v>270.5</v>
      </c>
      <c r="BM621" s="82">
        <v>0</v>
      </c>
      <c r="BN621" s="81">
        <f t="shared" si="2788"/>
        <v>0</v>
      </c>
      <c r="BO621" s="75">
        <f t="shared" si="2789"/>
        <v>0</v>
      </c>
      <c r="BP621" s="81">
        <f t="shared" si="2790"/>
        <v>0</v>
      </c>
      <c r="BQ621" s="81">
        <f t="shared" si="2791"/>
        <v>0</v>
      </c>
      <c r="BR621" s="81">
        <f t="shared" si="2792"/>
        <v>0</v>
      </c>
      <c r="BS621" s="81">
        <f t="shared" si="2793"/>
        <v>0</v>
      </c>
      <c r="BT621" s="81">
        <f t="shared" si="2794"/>
        <v>0</v>
      </c>
      <c r="BU621" s="81">
        <f t="shared" si="2795"/>
        <v>0</v>
      </c>
      <c r="BV621" s="81">
        <f t="shared" si="2796"/>
        <v>0</v>
      </c>
      <c r="BW621" s="81">
        <f t="shared" si="2797"/>
        <v>0</v>
      </c>
      <c r="BX621" s="1"/>
      <c r="BY621" s="1"/>
      <c r="BZ621" s="1"/>
      <c r="CA621" s="1"/>
      <c r="CB621" s="1"/>
      <c r="CC621" s="1"/>
      <c r="CD621" s="1"/>
      <c r="CE621" s="1"/>
      <c r="CF621" s="1"/>
      <c r="CG621" s="1"/>
    </row>
    <row r="622" spans="1:85" ht="15.75" customHeight="1">
      <c r="A622" s="84"/>
      <c r="B622" s="115"/>
      <c r="C622" s="86" t="s">
        <v>169</v>
      </c>
      <c r="D622" s="87" t="s">
        <v>953</v>
      </c>
      <c r="E622" s="163">
        <v>25000</v>
      </c>
      <c r="F622" s="164"/>
      <c r="G622" s="71">
        <f t="shared" si="2781"/>
        <v>25000</v>
      </c>
      <c r="H622" s="70"/>
      <c r="I622" s="72">
        <f t="shared" si="2631"/>
        <v>0</v>
      </c>
      <c r="J622" s="72">
        <f t="shared" si="2632"/>
        <v>0</v>
      </c>
      <c r="K622" s="76"/>
      <c r="L622" s="75"/>
      <c r="M622" s="81"/>
      <c r="N622" s="88"/>
      <c r="O622" s="77">
        <f t="shared" ref="O622:Q622" si="2915">AA622+AD622+AG622+AJ622+AM622+AP622+AS622+AV622+AY622+BB622+BE622+BH622</f>
        <v>0</v>
      </c>
      <c r="P622" s="77">
        <f t="shared" si="2915"/>
        <v>0</v>
      </c>
      <c r="Q622" s="77">
        <f t="shared" si="2915"/>
        <v>0</v>
      </c>
      <c r="R622" s="77">
        <f t="shared" ref="R622:T622" si="2916">IF(BK622=0,SUM(AA622+AD622+AG622+AJ622+AM622+AP622+AS622+AV622+AY622+BB622+BE622+BH622),BK622)</f>
        <v>0</v>
      </c>
      <c r="S622" s="77">
        <f t="shared" si="2916"/>
        <v>0</v>
      </c>
      <c r="T622" s="77">
        <f t="shared" si="2916"/>
        <v>0</v>
      </c>
      <c r="U622" s="79">
        <f t="shared" si="2784"/>
        <v>0</v>
      </c>
      <c r="V622" s="79">
        <f t="shared" si="2785"/>
        <v>0</v>
      </c>
      <c r="W622" s="79">
        <f t="shared" si="2786"/>
        <v>0</v>
      </c>
      <c r="X622" s="80">
        <f t="shared" ref="X622:Y622" si="2917">IF(O622&gt;0,O622/K622,0)</f>
        <v>0</v>
      </c>
      <c r="Y622" s="80">
        <f t="shared" si="2917"/>
        <v>0</v>
      </c>
      <c r="Z622" s="80">
        <f t="shared" si="2391"/>
        <v>0</v>
      </c>
      <c r="AA622" s="81"/>
      <c r="AB622" s="81"/>
      <c r="AC622" s="81"/>
      <c r="AD622" s="81"/>
      <c r="AE622" s="83"/>
      <c r="AF622" s="83"/>
      <c r="AG622" s="83"/>
      <c r="AH622" s="83"/>
      <c r="AI622" s="81"/>
      <c r="AJ622" s="81"/>
      <c r="AK622" s="81"/>
      <c r="AL622" s="81"/>
      <c r="AM622" s="81"/>
      <c r="AN622" s="81"/>
      <c r="AO622" s="81"/>
      <c r="AP622" s="81"/>
      <c r="AQ622" s="81"/>
      <c r="AR622" s="81"/>
      <c r="AS622" s="81"/>
      <c r="AT622" s="81"/>
      <c r="AU622" s="81"/>
      <c r="AV622" s="81"/>
      <c r="AW622" s="81"/>
      <c r="AX622" s="81"/>
      <c r="AY622" s="81"/>
      <c r="AZ622" s="81"/>
      <c r="BA622" s="81"/>
      <c r="BB622" s="81"/>
      <c r="BC622" s="81"/>
      <c r="BD622" s="81"/>
      <c r="BE622" s="81"/>
      <c r="BF622" s="81"/>
      <c r="BG622" s="81"/>
      <c r="BH622" s="81"/>
      <c r="BI622" s="81"/>
      <c r="BJ622" s="81"/>
      <c r="BK622" s="82">
        <v>0</v>
      </c>
      <c r="BL622" s="82">
        <v>0</v>
      </c>
      <c r="BM622" s="82">
        <v>0</v>
      </c>
      <c r="BN622" s="81">
        <f t="shared" si="2788"/>
        <v>0</v>
      </c>
      <c r="BO622" s="75">
        <f t="shared" si="2789"/>
        <v>0</v>
      </c>
      <c r="BP622" s="81">
        <f t="shared" si="2790"/>
        <v>0</v>
      </c>
      <c r="BQ622" s="81">
        <f t="shared" si="2791"/>
        <v>0</v>
      </c>
      <c r="BR622" s="81">
        <f t="shared" si="2792"/>
        <v>0</v>
      </c>
      <c r="BS622" s="81">
        <f t="shared" si="2793"/>
        <v>0</v>
      </c>
      <c r="BT622" s="81">
        <f t="shared" si="2794"/>
        <v>0</v>
      </c>
      <c r="BU622" s="81">
        <f t="shared" si="2795"/>
        <v>0</v>
      </c>
      <c r="BV622" s="81">
        <f t="shared" si="2796"/>
        <v>0</v>
      </c>
      <c r="BW622" s="81">
        <f t="shared" si="2797"/>
        <v>0</v>
      </c>
      <c r="BX622" s="1"/>
      <c r="BY622" s="1"/>
      <c r="BZ622" s="1"/>
      <c r="CA622" s="1"/>
      <c r="CB622" s="1"/>
      <c r="CC622" s="1"/>
      <c r="CD622" s="1"/>
      <c r="CE622" s="1"/>
      <c r="CF622" s="1"/>
      <c r="CG622" s="1"/>
    </row>
    <row r="623" spans="1:85" ht="15.75" customHeight="1">
      <c r="A623" s="84"/>
      <c r="B623" s="115"/>
      <c r="C623" s="86" t="s">
        <v>209</v>
      </c>
      <c r="D623" s="292" t="s">
        <v>536</v>
      </c>
      <c r="E623" s="163">
        <v>1000</v>
      </c>
      <c r="F623" s="164"/>
      <c r="G623" s="71">
        <f t="shared" si="2781"/>
        <v>1000</v>
      </c>
      <c r="H623" s="70"/>
      <c r="I623" s="72">
        <f t="shared" si="2631"/>
        <v>0</v>
      </c>
      <c r="J623" s="72">
        <f t="shared" si="2632"/>
        <v>0</v>
      </c>
      <c r="K623" s="76"/>
      <c r="L623" s="75"/>
      <c r="M623" s="81"/>
      <c r="N623" s="88"/>
      <c r="O623" s="77">
        <f t="shared" ref="O623:Q623" si="2918">AA623+AD623+AG623+AJ623+AM623+AP623+AS623+AV623+AY623+BB623+BE623+BH623</f>
        <v>0</v>
      </c>
      <c r="P623" s="77">
        <f t="shared" si="2918"/>
        <v>0</v>
      </c>
      <c r="Q623" s="77">
        <f t="shared" si="2918"/>
        <v>0</v>
      </c>
      <c r="R623" s="77">
        <f t="shared" ref="R623:T623" si="2919">IF(BK623=0,SUM(AA623+AD623+AG623+AJ623+AM623+AP623+AS623+AV623+AY623+BB623+BE623+BH623),BK623)</f>
        <v>0</v>
      </c>
      <c r="S623" s="77">
        <f t="shared" si="2919"/>
        <v>0</v>
      </c>
      <c r="T623" s="77">
        <f t="shared" si="2919"/>
        <v>0</v>
      </c>
      <c r="U623" s="79">
        <f t="shared" si="2784"/>
        <v>0</v>
      </c>
      <c r="V623" s="79">
        <f t="shared" si="2785"/>
        <v>0</v>
      </c>
      <c r="W623" s="79">
        <f t="shared" si="2786"/>
        <v>0</v>
      </c>
      <c r="X623" s="80">
        <f t="shared" ref="X623:Y623" si="2920">IF(O623&gt;0,O623/K623,0)</f>
        <v>0</v>
      </c>
      <c r="Y623" s="80">
        <f t="shared" si="2920"/>
        <v>0</v>
      </c>
      <c r="Z623" s="80">
        <f t="shared" si="2391"/>
        <v>0</v>
      </c>
      <c r="AA623" s="81"/>
      <c r="AB623" s="81"/>
      <c r="AC623" s="81"/>
      <c r="AD623" s="81"/>
      <c r="AE623" s="83"/>
      <c r="AF623" s="83"/>
      <c r="AG623" s="83"/>
      <c r="AH623" s="83"/>
      <c r="AI623" s="81"/>
      <c r="AJ623" s="81"/>
      <c r="AK623" s="81"/>
      <c r="AL623" s="81"/>
      <c r="AM623" s="81"/>
      <c r="AN623" s="81"/>
      <c r="AO623" s="81"/>
      <c r="AP623" s="81"/>
      <c r="AQ623" s="81"/>
      <c r="AR623" s="81"/>
      <c r="AS623" s="81"/>
      <c r="AT623" s="81"/>
      <c r="AU623" s="81"/>
      <c r="AV623" s="81"/>
      <c r="AW623" s="81"/>
      <c r="AX623" s="81"/>
      <c r="AY623" s="81"/>
      <c r="AZ623" s="81"/>
      <c r="BA623" s="81"/>
      <c r="BB623" s="81"/>
      <c r="BC623" s="81"/>
      <c r="BD623" s="81"/>
      <c r="BE623" s="81"/>
      <c r="BF623" s="81"/>
      <c r="BG623" s="81"/>
      <c r="BH623" s="81"/>
      <c r="BI623" s="81"/>
      <c r="BJ623" s="81"/>
      <c r="BK623" s="82">
        <v>0</v>
      </c>
      <c r="BL623" s="82">
        <v>0</v>
      </c>
      <c r="BM623" s="82">
        <v>0</v>
      </c>
      <c r="BN623" s="81">
        <f t="shared" si="2788"/>
        <v>0</v>
      </c>
      <c r="BO623" s="75">
        <f t="shared" si="2789"/>
        <v>0</v>
      </c>
      <c r="BP623" s="81">
        <f t="shared" si="2790"/>
        <v>0</v>
      </c>
      <c r="BQ623" s="81">
        <f t="shared" si="2791"/>
        <v>0</v>
      </c>
      <c r="BR623" s="81">
        <f t="shared" si="2792"/>
        <v>0</v>
      </c>
      <c r="BS623" s="81">
        <f t="shared" si="2793"/>
        <v>0</v>
      </c>
      <c r="BT623" s="81">
        <f t="shared" si="2794"/>
        <v>0</v>
      </c>
      <c r="BU623" s="81">
        <f t="shared" si="2795"/>
        <v>0</v>
      </c>
      <c r="BV623" s="81">
        <f t="shared" si="2796"/>
        <v>0</v>
      </c>
      <c r="BW623" s="81">
        <f t="shared" si="2797"/>
        <v>0</v>
      </c>
      <c r="BX623" s="1"/>
      <c r="BY623" s="1"/>
      <c r="BZ623" s="1"/>
      <c r="CA623" s="1"/>
      <c r="CB623" s="1"/>
      <c r="CC623" s="1"/>
      <c r="CD623" s="1"/>
      <c r="CE623" s="1"/>
      <c r="CF623" s="1"/>
      <c r="CG623" s="1"/>
    </row>
    <row r="624" spans="1:85" ht="15.75" customHeight="1">
      <c r="A624" s="84"/>
      <c r="B624" s="115"/>
      <c r="C624" s="86" t="s">
        <v>216</v>
      </c>
      <c r="D624" s="292" t="s">
        <v>954</v>
      </c>
      <c r="E624" s="163">
        <v>500</v>
      </c>
      <c r="F624" s="164"/>
      <c r="G624" s="71">
        <f t="shared" si="2781"/>
        <v>500</v>
      </c>
      <c r="H624" s="70"/>
      <c r="I624" s="72">
        <f t="shared" si="2631"/>
        <v>0</v>
      </c>
      <c r="J624" s="72">
        <f t="shared" si="2632"/>
        <v>0</v>
      </c>
      <c r="K624" s="76"/>
      <c r="L624" s="75"/>
      <c r="M624" s="81"/>
      <c r="N624" s="88"/>
      <c r="O624" s="77">
        <f t="shared" ref="O624:Q624" si="2921">AA624+AD624+AG624+AJ624+AM624+AP624+AS624+AV624+AY624+BB624+BE624+BH624</f>
        <v>0</v>
      </c>
      <c r="P624" s="77">
        <f t="shared" si="2921"/>
        <v>0</v>
      </c>
      <c r="Q624" s="77">
        <f t="shared" si="2921"/>
        <v>0</v>
      </c>
      <c r="R624" s="77">
        <f t="shared" ref="R624:T624" si="2922">IF(BK624=0,SUM(AA624+AD624+AG624+AJ624+AM624+AP624+AS624+AV624+AY624+BB624+BE624+BH624),BK624)</f>
        <v>0</v>
      </c>
      <c r="S624" s="77">
        <f t="shared" si="2922"/>
        <v>0</v>
      </c>
      <c r="T624" s="77">
        <f t="shared" si="2922"/>
        <v>0</v>
      </c>
      <c r="U624" s="79">
        <f t="shared" si="2784"/>
        <v>0</v>
      </c>
      <c r="V624" s="79">
        <f t="shared" si="2785"/>
        <v>0</v>
      </c>
      <c r="W624" s="79">
        <f t="shared" si="2786"/>
        <v>0</v>
      </c>
      <c r="X624" s="80">
        <f t="shared" ref="X624:Y624" si="2923">IF(O624&gt;0,O624/K624,0)</f>
        <v>0</v>
      </c>
      <c r="Y624" s="80">
        <f t="shared" si="2923"/>
        <v>0</v>
      </c>
      <c r="Z624" s="80">
        <f t="shared" si="2391"/>
        <v>0</v>
      </c>
      <c r="AA624" s="81"/>
      <c r="AB624" s="81"/>
      <c r="AC624" s="81"/>
      <c r="AD624" s="81"/>
      <c r="AE624" s="83"/>
      <c r="AF624" s="83"/>
      <c r="AG624" s="83"/>
      <c r="AH624" s="83"/>
      <c r="AI624" s="81"/>
      <c r="AJ624" s="81"/>
      <c r="AK624" s="81"/>
      <c r="AL624" s="81"/>
      <c r="AM624" s="81"/>
      <c r="AN624" s="81"/>
      <c r="AO624" s="81"/>
      <c r="AP624" s="81"/>
      <c r="AQ624" s="81"/>
      <c r="AR624" s="81"/>
      <c r="AS624" s="81"/>
      <c r="AT624" s="81"/>
      <c r="AU624" s="81"/>
      <c r="AV624" s="81"/>
      <c r="AW624" s="81"/>
      <c r="AX624" s="81"/>
      <c r="AY624" s="81"/>
      <c r="AZ624" s="81"/>
      <c r="BA624" s="81"/>
      <c r="BB624" s="81"/>
      <c r="BC624" s="81"/>
      <c r="BD624" s="81"/>
      <c r="BE624" s="81"/>
      <c r="BF624" s="81"/>
      <c r="BG624" s="81"/>
      <c r="BH624" s="81"/>
      <c r="BI624" s="81"/>
      <c r="BJ624" s="81"/>
      <c r="BK624" s="82">
        <v>0</v>
      </c>
      <c r="BL624" s="82">
        <v>0</v>
      </c>
      <c r="BM624" s="82">
        <v>0</v>
      </c>
      <c r="BN624" s="81">
        <f t="shared" si="2788"/>
        <v>0</v>
      </c>
      <c r="BO624" s="75">
        <f t="shared" si="2789"/>
        <v>0</v>
      </c>
      <c r="BP624" s="81">
        <f t="shared" si="2790"/>
        <v>0</v>
      </c>
      <c r="BQ624" s="81">
        <f t="shared" si="2791"/>
        <v>0</v>
      </c>
      <c r="BR624" s="81">
        <f t="shared" si="2792"/>
        <v>0</v>
      </c>
      <c r="BS624" s="81">
        <f t="shared" si="2793"/>
        <v>0</v>
      </c>
      <c r="BT624" s="81">
        <f t="shared" si="2794"/>
        <v>0</v>
      </c>
      <c r="BU624" s="81">
        <f t="shared" si="2795"/>
        <v>0</v>
      </c>
      <c r="BV624" s="81">
        <f t="shared" si="2796"/>
        <v>0</v>
      </c>
      <c r="BW624" s="81">
        <f t="shared" si="2797"/>
        <v>0</v>
      </c>
      <c r="BX624" s="1"/>
      <c r="BY624" s="1"/>
      <c r="BZ624" s="1"/>
      <c r="CA624" s="1"/>
      <c r="CB624" s="1"/>
      <c r="CC624" s="1"/>
      <c r="CD624" s="1"/>
      <c r="CE624" s="1"/>
      <c r="CF624" s="1"/>
      <c r="CG624" s="1"/>
    </row>
    <row r="625" spans="1:85" ht="15.75" customHeight="1">
      <c r="A625" s="125" t="s">
        <v>955</v>
      </c>
      <c r="B625" s="115"/>
      <c r="C625" s="86" t="s">
        <v>956</v>
      </c>
      <c r="D625" s="135" t="s">
        <v>957</v>
      </c>
      <c r="E625" s="163">
        <v>60000</v>
      </c>
      <c r="F625" s="164"/>
      <c r="G625" s="71">
        <f t="shared" si="2781"/>
        <v>60000</v>
      </c>
      <c r="H625" s="70"/>
      <c r="I625" s="72">
        <f t="shared" si="2631"/>
        <v>0.27166433333333334</v>
      </c>
      <c r="J625" s="72">
        <f t="shared" si="2632"/>
        <v>0.27166433333333334</v>
      </c>
      <c r="K625" s="94">
        <v>16299.86</v>
      </c>
      <c r="L625" s="75"/>
      <c r="M625" s="81"/>
      <c r="N625" s="88"/>
      <c r="O625" s="77">
        <f t="shared" ref="O625:Q625" si="2924">AA625+AD625+AG625+AJ625+AM625+AP625+AS625+AV625+AY625+BB625+BE625+BH625</f>
        <v>16299.86</v>
      </c>
      <c r="P625" s="77">
        <f t="shared" si="2924"/>
        <v>0</v>
      </c>
      <c r="Q625" s="77">
        <f t="shared" si="2924"/>
        <v>0</v>
      </c>
      <c r="R625" s="77">
        <f t="shared" ref="R625:T625" si="2925">IF(BK625=0,SUM(AA625+AD625+AG625+AJ625+AM625+AP625+AS625+AV625+AY625+BB625+BE625+BH625),BK625)</f>
        <v>16299.86</v>
      </c>
      <c r="S625" s="77">
        <f t="shared" si="2925"/>
        <v>0</v>
      </c>
      <c r="T625" s="77">
        <f t="shared" si="2925"/>
        <v>0</v>
      </c>
      <c r="U625" s="79">
        <f t="shared" si="2784"/>
        <v>0</v>
      </c>
      <c r="V625" s="79">
        <f t="shared" si="2785"/>
        <v>0</v>
      </c>
      <c r="W625" s="79">
        <f t="shared" si="2786"/>
        <v>0</v>
      </c>
      <c r="X625" s="80">
        <f t="shared" ref="X625:Y625" si="2926">IF(O625&gt;0,O625/K625,0)</f>
        <v>1</v>
      </c>
      <c r="Y625" s="80">
        <f t="shared" si="2926"/>
        <v>0</v>
      </c>
      <c r="Z625" s="80">
        <f t="shared" si="2391"/>
        <v>0</v>
      </c>
      <c r="AA625" s="81"/>
      <c r="AB625" s="81"/>
      <c r="AC625" s="81"/>
      <c r="AD625" s="81"/>
      <c r="AE625" s="83"/>
      <c r="AF625" s="83"/>
      <c r="AG625" s="128">
        <v>16299.86</v>
      </c>
      <c r="AH625" s="83"/>
      <c r="AI625" s="81"/>
      <c r="AJ625" s="81"/>
      <c r="AK625" s="81"/>
      <c r="AL625" s="81"/>
      <c r="AM625" s="81"/>
      <c r="AN625" s="81"/>
      <c r="AO625" s="81"/>
      <c r="AP625" s="81"/>
      <c r="AQ625" s="81"/>
      <c r="AR625" s="81"/>
      <c r="AS625" s="81"/>
      <c r="AT625" s="81"/>
      <c r="AU625" s="81"/>
      <c r="AV625" s="81"/>
      <c r="AW625" s="81"/>
      <c r="AX625" s="81"/>
      <c r="AY625" s="81"/>
      <c r="AZ625" s="81"/>
      <c r="BA625" s="81"/>
      <c r="BB625" s="81"/>
      <c r="BC625" s="81"/>
      <c r="BD625" s="81"/>
      <c r="BE625" s="81"/>
      <c r="BF625" s="81"/>
      <c r="BG625" s="81"/>
      <c r="BH625" s="81"/>
      <c r="BI625" s="81"/>
      <c r="BJ625" s="81"/>
      <c r="BK625" s="82">
        <v>16299.86</v>
      </c>
      <c r="BL625" s="82">
        <v>0</v>
      </c>
      <c r="BM625" s="82">
        <v>0</v>
      </c>
      <c r="BN625" s="81">
        <f t="shared" si="2788"/>
        <v>0</v>
      </c>
      <c r="BO625" s="75">
        <f t="shared" si="2789"/>
        <v>0</v>
      </c>
      <c r="BP625" s="81">
        <f t="shared" si="2790"/>
        <v>0</v>
      </c>
      <c r="BQ625" s="81">
        <f t="shared" si="2791"/>
        <v>0</v>
      </c>
      <c r="BR625" s="81">
        <f t="shared" si="2792"/>
        <v>0</v>
      </c>
      <c r="BS625" s="81">
        <f t="shared" si="2793"/>
        <v>0</v>
      </c>
      <c r="BT625" s="81">
        <f t="shared" si="2794"/>
        <v>0</v>
      </c>
      <c r="BU625" s="81">
        <f t="shared" si="2795"/>
        <v>0</v>
      </c>
      <c r="BV625" s="81">
        <f t="shared" si="2796"/>
        <v>0</v>
      </c>
      <c r="BW625" s="81">
        <f t="shared" si="2797"/>
        <v>0</v>
      </c>
      <c r="BX625" s="1"/>
      <c r="BY625" s="1"/>
      <c r="BZ625" s="1"/>
      <c r="CA625" s="1"/>
      <c r="CB625" s="1"/>
      <c r="CC625" s="1"/>
      <c r="CD625" s="1"/>
      <c r="CE625" s="1"/>
      <c r="CF625" s="1"/>
      <c r="CG625" s="1"/>
    </row>
    <row r="626" spans="1:85" ht="15.75" customHeight="1">
      <c r="A626" s="125" t="s">
        <v>958</v>
      </c>
      <c r="B626" s="349" t="s">
        <v>933</v>
      </c>
      <c r="C626" s="86" t="s">
        <v>956</v>
      </c>
      <c r="D626" s="135" t="s">
        <v>959</v>
      </c>
      <c r="E626" s="163"/>
      <c r="F626" s="164"/>
      <c r="G626" s="71">
        <f t="shared" si="2781"/>
        <v>0</v>
      </c>
      <c r="H626" s="70"/>
      <c r="I626" s="72">
        <f t="shared" si="2631"/>
        <v>0</v>
      </c>
      <c r="J626" s="72">
        <f t="shared" si="2632"/>
        <v>0</v>
      </c>
      <c r="K626" s="94">
        <v>2400</v>
      </c>
      <c r="L626" s="75">
        <v>9540</v>
      </c>
      <c r="M626" s="81"/>
      <c r="N626" s="88"/>
      <c r="O626" s="77">
        <f t="shared" ref="O626:Q626" si="2927">AA626+AD626+AG626+AJ626+AM626+AP626+AS626+AV626+AY626+BB626+BE626+BH626</f>
        <v>2400</v>
      </c>
      <c r="P626" s="77">
        <f t="shared" si="2927"/>
        <v>9540</v>
      </c>
      <c r="Q626" s="77">
        <f t="shared" si="2927"/>
        <v>0</v>
      </c>
      <c r="R626" s="77">
        <f t="shared" ref="R626:T626" si="2928">IF(BK626=0,SUM(AA626+AD626+AG626+AJ626+AM626+AP626+AS626+AV626+AY626+BB626+BE626+BH626),BK626)</f>
        <v>2400</v>
      </c>
      <c r="S626" s="77">
        <f t="shared" si="2928"/>
        <v>9540</v>
      </c>
      <c r="T626" s="77">
        <f t="shared" si="2928"/>
        <v>0</v>
      </c>
      <c r="U626" s="79">
        <f t="shared" si="2784"/>
        <v>0</v>
      </c>
      <c r="V626" s="79">
        <f t="shared" si="2785"/>
        <v>0</v>
      </c>
      <c r="W626" s="79">
        <f t="shared" si="2786"/>
        <v>0</v>
      </c>
      <c r="X626" s="80">
        <f t="shared" ref="X626:Y626" si="2929">IF(O626&gt;0,O626/K626,0)</f>
        <v>1</v>
      </c>
      <c r="Y626" s="80">
        <f t="shared" si="2929"/>
        <v>1</v>
      </c>
      <c r="Z626" s="80">
        <f t="shared" si="2391"/>
        <v>0</v>
      </c>
      <c r="AA626" s="81"/>
      <c r="AB626" s="81"/>
      <c r="AC626" s="81"/>
      <c r="AD626" s="81"/>
      <c r="AE626" s="83"/>
      <c r="AF626" s="83"/>
      <c r="AG626" s="83"/>
      <c r="AH626" s="82">
        <v>9540</v>
      </c>
      <c r="AI626" s="82"/>
      <c r="AJ626" s="81"/>
      <c r="AK626" s="81"/>
      <c r="AL626" s="81"/>
      <c r="AM626" s="81"/>
      <c r="AN626" s="81"/>
      <c r="AO626" s="81"/>
      <c r="AP626" s="82">
        <v>2400</v>
      </c>
      <c r="AQ626" s="81"/>
      <c r="AR626" s="81"/>
      <c r="AS626" s="81"/>
      <c r="AT626" s="81"/>
      <c r="AU626" s="81"/>
      <c r="AV626" s="81"/>
      <c r="AW626" s="81"/>
      <c r="AX626" s="81"/>
      <c r="AY626" s="81"/>
      <c r="AZ626" s="81"/>
      <c r="BA626" s="81"/>
      <c r="BB626" s="81"/>
      <c r="BC626" s="81"/>
      <c r="BD626" s="81"/>
      <c r="BE626" s="81"/>
      <c r="BF626" s="81"/>
      <c r="BG626" s="81"/>
      <c r="BH626" s="81"/>
      <c r="BI626" s="81"/>
      <c r="BJ626" s="81"/>
      <c r="BK626" s="82">
        <v>2400</v>
      </c>
      <c r="BL626" s="82">
        <v>9540</v>
      </c>
      <c r="BM626" s="82">
        <v>0</v>
      </c>
      <c r="BN626" s="81">
        <f t="shared" si="2788"/>
        <v>0</v>
      </c>
      <c r="BO626" s="75">
        <f t="shared" si="2789"/>
        <v>0</v>
      </c>
      <c r="BP626" s="81">
        <f t="shared" si="2790"/>
        <v>0</v>
      </c>
      <c r="BQ626" s="81">
        <f t="shared" si="2791"/>
        <v>0</v>
      </c>
      <c r="BR626" s="81">
        <f t="shared" si="2792"/>
        <v>0</v>
      </c>
      <c r="BS626" s="81">
        <f t="shared" si="2793"/>
        <v>0</v>
      </c>
      <c r="BT626" s="81">
        <f t="shared" si="2794"/>
        <v>0</v>
      </c>
      <c r="BU626" s="81">
        <f t="shared" si="2795"/>
        <v>0</v>
      </c>
      <c r="BV626" s="81">
        <f t="shared" si="2796"/>
        <v>0</v>
      </c>
      <c r="BW626" s="81">
        <f t="shared" si="2797"/>
        <v>0</v>
      </c>
      <c r="BX626" s="1"/>
      <c r="BY626" s="1"/>
      <c r="BZ626" s="1"/>
      <c r="CA626" s="1"/>
      <c r="CB626" s="1"/>
      <c r="CC626" s="1"/>
      <c r="CD626" s="1"/>
      <c r="CE626" s="1"/>
      <c r="CF626" s="1"/>
      <c r="CG626" s="1"/>
    </row>
    <row r="627" spans="1:85" ht="15.75" customHeight="1" outlineLevel="1">
      <c r="A627" s="125" t="s">
        <v>960</v>
      </c>
      <c r="B627" s="132"/>
      <c r="C627" s="86" t="s">
        <v>956</v>
      </c>
      <c r="D627" s="135" t="s">
        <v>961</v>
      </c>
      <c r="E627" s="163"/>
      <c r="F627" s="164"/>
      <c r="G627" s="71">
        <f t="shared" si="2781"/>
        <v>0</v>
      </c>
      <c r="H627" s="70"/>
      <c r="I627" s="72">
        <f t="shared" si="2631"/>
        <v>0</v>
      </c>
      <c r="J627" s="72">
        <f t="shared" si="2632"/>
        <v>0</v>
      </c>
      <c r="K627" s="94">
        <v>718.4</v>
      </c>
      <c r="L627" s="75"/>
      <c r="M627" s="81"/>
      <c r="N627" s="88"/>
      <c r="O627" s="77">
        <f t="shared" ref="O627:Q627" si="2930">AA627+AD627+AG627+AJ627+AM627+AP627+AS627+AV627+AY627+BB627+BE627+BH627</f>
        <v>718.4</v>
      </c>
      <c r="P627" s="77">
        <f t="shared" si="2930"/>
        <v>0</v>
      </c>
      <c r="Q627" s="77">
        <f t="shared" si="2930"/>
        <v>0</v>
      </c>
      <c r="R627" s="77">
        <f t="shared" ref="R627:T627" si="2931">IF(BK627=0,SUM(AA627+AD627+AG627+AJ627+AM627+AP627+AS627+AV627+AY627+BB627+BE627+BH627),BK627)</f>
        <v>718.4</v>
      </c>
      <c r="S627" s="77">
        <f t="shared" si="2931"/>
        <v>0</v>
      </c>
      <c r="T627" s="77">
        <f t="shared" si="2931"/>
        <v>0</v>
      </c>
      <c r="U627" s="78">
        <f t="shared" si="2784"/>
        <v>0</v>
      </c>
      <c r="V627" s="79">
        <f t="shared" si="2785"/>
        <v>0</v>
      </c>
      <c r="W627" s="79">
        <f t="shared" si="2786"/>
        <v>0</v>
      </c>
      <c r="X627" s="80">
        <f t="shared" ref="X627:Y627" si="2932">IF(O627&gt;0,O627/K627,0)</f>
        <v>1</v>
      </c>
      <c r="Y627" s="80">
        <f t="shared" si="2932"/>
        <v>0</v>
      </c>
      <c r="Z627" s="80">
        <f t="shared" si="2391"/>
        <v>0</v>
      </c>
      <c r="AA627" s="81"/>
      <c r="AB627" s="81"/>
      <c r="AC627" s="81"/>
      <c r="AD627" s="81"/>
      <c r="AE627" s="128"/>
      <c r="AF627" s="83"/>
      <c r="AG627" s="83"/>
      <c r="AH627" s="83"/>
      <c r="AI627" s="81"/>
      <c r="AJ627" s="81"/>
      <c r="AK627" s="81"/>
      <c r="AL627" s="81"/>
      <c r="AM627" s="81"/>
      <c r="AN627" s="81"/>
      <c r="AO627" s="81"/>
      <c r="AP627" s="81"/>
      <c r="AQ627" s="81"/>
      <c r="AR627" s="81"/>
      <c r="AS627" s="81"/>
      <c r="AT627" s="81"/>
      <c r="AU627" s="81"/>
      <c r="AV627" s="82">
        <v>718.4</v>
      </c>
      <c r="AW627" s="81"/>
      <c r="AX627" s="81"/>
      <c r="AY627" s="81"/>
      <c r="AZ627" s="81"/>
      <c r="BA627" s="81"/>
      <c r="BB627" s="81"/>
      <c r="BC627" s="81"/>
      <c r="BD627" s="81"/>
      <c r="BE627" s="81"/>
      <c r="BF627" s="81"/>
      <c r="BG627" s="81"/>
      <c r="BH627" s="81"/>
      <c r="BI627" s="81"/>
      <c r="BJ627" s="81"/>
      <c r="BK627" s="82">
        <v>718.4</v>
      </c>
      <c r="BL627" s="82">
        <v>0</v>
      </c>
      <c r="BM627" s="82">
        <v>0</v>
      </c>
      <c r="BN627" s="81">
        <f t="shared" si="2788"/>
        <v>0</v>
      </c>
      <c r="BO627" s="75">
        <f t="shared" si="2789"/>
        <v>0</v>
      </c>
      <c r="BP627" s="81">
        <f t="shared" si="2790"/>
        <v>0</v>
      </c>
      <c r="BQ627" s="81">
        <f t="shared" si="2791"/>
        <v>0</v>
      </c>
      <c r="BR627" s="81">
        <f t="shared" si="2792"/>
        <v>0</v>
      </c>
      <c r="BS627" s="81">
        <f t="shared" si="2793"/>
        <v>0</v>
      </c>
      <c r="BT627" s="81">
        <f t="shared" si="2794"/>
        <v>0</v>
      </c>
      <c r="BU627" s="81">
        <f t="shared" si="2795"/>
        <v>0</v>
      </c>
      <c r="BV627" s="81">
        <f t="shared" si="2796"/>
        <v>0</v>
      </c>
      <c r="BW627" s="81">
        <f t="shared" si="2797"/>
        <v>0</v>
      </c>
      <c r="BX627" s="1"/>
      <c r="BY627" s="1"/>
      <c r="BZ627" s="1"/>
      <c r="CA627" s="1"/>
      <c r="CB627" s="1"/>
      <c r="CC627" s="1"/>
      <c r="CD627" s="1"/>
      <c r="CE627" s="1"/>
      <c r="CF627" s="1"/>
      <c r="CG627" s="1"/>
    </row>
    <row r="628" spans="1:85" ht="15.75" customHeight="1" outlineLevel="1">
      <c r="A628" s="125" t="s">
        <v>962</v>
      </c>
      <c r="B628" s="132"/>
      <c r="C628" s="86" t="s">
        <v>956</v>
      </c>
      <c r="D628" s="135" t="s">
        <v>963</v>
      </c>
      <c r="E628" s="163"/>
      <c r="F628" s="164"/>
      <c r="G628" s="71">
        <f t="shared" si="2781"/>
        <v>0</v>
      </c>
      <c r="H628" s="70"/>
      <c r="I628" s="72">
        <f t="shared" si="2631"/>
        <v>0</v>
      </c>
      <c r="J628" s="72">
        <f t="shared" si="2632"/>
        <v>0</v>
      </c>
      <c r="K628" s="94">
        <v>25355.5</v>
      </c>
      <c r="L628" s="75"/>
      <c r="M628" s="81"/>
      <c r="N628" s="88"/>
      <c r="O628" s="77">
        <f t="shared" ref="O628:Q628" si="2933">AA628+AD628+AG628+AJ628+AM628+AP628+AS628+AV628+AY628+BB628+BE628+BH628</f>
        <v>25355.5</v>
      </c>
      <c r="P628" s="77">
        <f t="shared" si="2933"/>
        <v>0</v>
      </c>
      <c r="Q628" s="77">
        <f t="shared" si="2933"/>
        <v>0</v>
      </c>
      <c r="R628" s="77">
        <f t="shared" ref="R628:T628" si="2934">IF(BK628=0,SUM(AA628+AD628+AG628+AJ628+AM628+AP628+AS628+AV628+AY628+BB628+BE628+BH628),BK628)</f>
        <v>25355.5</v>
      </c>
      <c r="S628" s="77">
        <f t="shared" si="2934"/>
        <v>0</v>
      </c>
      <c r="T628" s="77">
        <f t="shared" si="2934"/>
        <v>0</v>
      </c>
      <c r="U628" s="79">
        <f t="shared" si="2784"/>
        <v>0</v>
      </c>
      <c r="V628" s="79">
        <f t="shared" si="2785"/>
        <v>0</v>
      </c>
      <c r="W628" s="79">
        <f t="shared" si="2786"/>
        <v>0</v>
      </c>
      <c r="X628" s="80">
        <f t="shared" ref="X628:Y628" si="2935">IF(O628&gt;0,O628/K628,0)</f>
        <v>1</v>
      </c>
      <c r="Y628" s="80">
        <f t="shared" si="2935"/>
        <v>0</v>
      </c>
      <c r="Z628" s="80">
        <f t="shared" si="2391"/>
        <v>0</v>
      </c>
      <c r="AA628" s="81"/>
      <c r="AB628" s="81"/>
      <c r="AC628" s="81"/>
      <c r="AD628" s="81"/>
      <c r="AE628" s="128"/>
      <c r="AF628" s="83"/>
      <c r="AG628" s="83">
        <f>9450+15905+0.5</f>
        <v>25355.5</v>
      </c>
      <c r="AH628" s="83"/>
      <c r="AI628" s="81"/>
      <c r="AJ628" s="81"/>
      <c r="AK628" s="81"/>
      <c r="AL628" s="81"/>
      <c r="AM628" s="81"/>
      <c r="AN628" s="81"/>
      <c r="AO628" s="81"/>
      <c r="AP628" s="81"/>
      <c r="AQ628" s="81"/>
      <c r="AR628" s="81"/>
      <c r="AS628" s="81"/>
      <c r="AT628" s="81"/>
      <c r="AU628" s="81"/>
      <c r="AV628" s="81"/>
      <c r="AW628" s="81"/>
      <c r="AX628" s="81"/>
      <c r="AY628" s="81"/>
      <c r="AZ628" s="81"/>
      <c r="BA628" s="81"/>
      <c r="BB628" s="81"/>
      <c r="BC628" s="81"/>
      <c r="BD628" s="81"/>
      <c r="BE628" s="81"/>
      <c r="BF628" s="81"/>
      <c r="BG628" s="81"/>
      <c r="BH628" s="81"/>
      <c r="BI628" s="81"/>
      <c r="BJ628" s="81"/>
      <c r="BK628" s="82">
        <v>25355.5</v>
      </c>
      <c r="BL628" s="82">
        <v>0</v>
      </c>
      <c r="BM628" s="82">
        <v>0</v>
      </c>
      <c r="BN628" s="81">
        <f t="shared" si="2788"/>
        <v>0</v>
      </c>
      <c r="BO628" s="75">
        <f t="shared" si="2789"/>
        <v>0</v>
      </c>
      <c r="BP628" s="81">
        <f t="shared" si="2790"/>
        <v>0</v>
      </c>
      <c r="BQ628" s="81">
        <f t="shared" si="2791"/>
        <v>0</v>
      </c>
      <c r="BR628" s="81">
        <f t="shared" si="2792"/>
        <v>0</v>
      </c>
      <c r="BS628" s="81">
        <f t="shared" si="2793"/>
        <v>0</v>
      </c>
      <c r="BT628" s="81">
        <f t="shared" si="2794"/>
        <v>0</v>
      </c>
      <c r="BU628" s="81">
        <f t="shared" si="2795"/>
        <v>0</v>
      </c>
      <c r="BV628" s="81">
        <f t="shared" si="2796"/>
        <v>0</v>
      </c>
      <c r="BW628" s="81">
        <f t="shared" si="2797"/>
        <v>0</v>
      </c>
      <c r="BX628" s="1"/>
      <c r="BY628" s="1"/>
      <c r="BZ628" s="1"/>
      <c r="CA628" s="1"/>
      <c r="CB628" s="1"/>
      <c r="CC628" s="1"/>
      <c r="CD628" s="1"/>
      <c r="CE628" s="1"/>
      <c r="CF628" s="1"/>
      <c r="CG628" s="1"/>
    </row>
    <row r="629" spans="1:85" ht="15.75" customHeight="1" outlineLevel="1">
      <c r="A629" s="134" t="s">
        <v>964</v>
      </c>
      <c r="B629" s="132"/>
      <c r="C629" s="86" t="s">
        <v>956</v>
      </c>
      <c r="D629" s="135" t="s">
        <v>965</v>
      </c>
      <c r="E629" s="163"/>
      <c r="F629" s="164"/>
      <c r="G629" s="71">
        <f t="shared" si="2781"/>
        <v>0</v>
      </c>
      <c r="H629" s="70"/>
      <c r="I629" s="72">
        <f t="shared" si="2631"/>
        <v>0</v>
      </c>
      <c r="J629" s="72">
        <f t="shared" si="2632"/>
        <v>0</v>
      </c>
      <c r="K629" s="94">
        <v>2277</v>
      </c>
      <c r="L629" s="75"/>
      <c r="M629" s="81"/>
      <c r="N629" s="88"/>
      <c r="O629" s="77">
        <f t="shared" ref="O629:Q629" si="2936">AA629+AD629+AG629+AJ629+AM629+AP629+AS629+AV629+AY629+BB629+BE629+BH629</f>
        <v>2277</v>
      </c>
      <c r="P629" s="77">
        <f t="shared" si="2936"/>
        <v>0</v>
      </c>
      <c r="Q629" s="77">
        <f t="shared" si="2936"/>
        <v>0</v>
      </c>
      <c r="R629" s="77">
        <f t="shared" ref="R629:T629" si="2937">IF(BK629=0,SUM(AA629+AD629+AG629+AJ629+AM629+AP629+AS629+AV629+AY629+BB629+BE629+BH629),BK629)</f>
        <v>2277</v>
      </c>
      <c r="S629" s="77">
        <f t="shared" si="2937"/>
        <v>0</v>
      </c>
      <c r="T629" s="77">
        <f t="shared" si="2937"/>
        <v>0</v>
      </c>
      <c r="U629" s="79">
        <f t="shared" si="2784"/>
        <v>0</v>
      </c>
      <c r="V629" s="79">
        <f t="shared" si="2785"/>
        <v>0</v>
      </c>
      <c r="W629" s="79">
        <f t="shared" si="2786"/>
        <v>0</v>
      </c>
      <c r="X629" s="80">
        <f t="shared" ref="X629:Y629" si="2938">IF(O629&gt;0,O629/K629,0)</f>
        <v>1</v>
      </c>
      <c r="Y629" s="80">
        <f t="shared" si="2938"/>
        <v>0</v>
      </c>
      <c r="Z629" s="80">
        <f t="shared" si="2391"/>
        <v>0</v>
      </c>
      <c r="AA629" s="81"/>
      <c r="AB629" s="81"/>
      <c r="AC629" s="81"/>
      <c r="AD629" s="81"/>
      <c r="AE629" s="128"/>
      <c r="AF629" s="83"/>
      <c r="AG629" s="83"/>
      <c r="AH629" s="83"/>
      <c r="AI629" s="81"/>
      <c r="AJ629" s="81"/>
      <c r="AK629" s="81"/>
      <c r="AL629" s="81"/>
      <c r="AM629" s="82">
        <v>2277</v>
      </c>
      <c r="AN629" s="81"/>
      <c r="AO629" s="81"/>
      <c r="AP629" s="81"/>
      <c r="AQ629" s="81"/>
      <c r="AR629" s="81"/>
      <c r="AS629" s="81"/>
      <c r="AT629" s="81"/>
      <c r="AU629" s="81"/>
      <c r="AV629" s="81"/>
      <c r="AW629" s="81"/>
      <c r="AX629" s="81"/>
      <c r="AY629" s="81"/>
      <c r="AZ629" s="81"/>
      <c r="BA629" s="81"/>
      <c r="BB629" s="81"/>
      <c r="BC629" s="81"/>
      <c r="BD629" s="81"/>
      <c r="BE629" s="81"/>
      <c r="BF629" s="81"/>
      <c r="BG629" s="81"/>
      <c r="BH629" s="81"/>
      <c r="BI629" s="81"/>
      <c r="BJ629" s="81"/>
      <c r="BK629" s="82">
        <v>2277</v>
      </c>
      <c r="BL629" s="82">
        <v>0</v>
      </c>
      <c r="BM629" s="82">
        <v>0</v>
      </c>
      <c r="BN629" s="81">
        <f t="shared" si="2788"/>
        <v>0</v>
      </c>
      <c r="BO629" s="75">
        <f t="shared" si="2789"/>
        <v>0</v>
      </c>
      <c r="BP629" s="81">
        <f t="shared" si="2790"/>
        <v>0</v>
      </c>
      <c r="BQ629" s="81">
        <f t="shared" si="2791"/>
        <v>0</v>
      </c>
      <c r="BR629" s="81">
        <f t="shared" si="2792"/>
        <v>0</v>
      </c>
      <c r="BS629" s="81">
        <f t="shared" si="2793"/>
        <v>0</v>
      </c>
      <c r="BT629" s="81">
        <f t="shared" si="2794"/>
        <v>0</v>
      </c>
      <c r="BU629" s="81">
        <f t="shared" si="2795"/>
        <v>0</v>
      </c>
      <c r="BV629" s="81">
        <f t="shared" si="2796"/>
        <v>0</v>
      </c>
      <c r="BW629" s="81">
        <f t="shared" si="2797"/>
        <v>0</v>
      </c>
      <c r="BX629" s="1"/>
      <c r="BY629" s="1"/>
      <c r="BZ629" s="1"/>
      <c r="CA629" s="1"/>
      <c r="CB629" s="1"/>
      <c r="CC629" s="1"/>
      <c r="CD629" s="1"/>
      <c r="CE629" s="1"/>
      <c r="CF629" s="1"/>
      <c r="CG629" s="1"/>
    </row>
    <row r="630" spans="1:85" ht="15.75" customHeight="1" outlineLevel="1">
      <c r="A630" s="134" t="s">
        <v>966</v>
      </c>
      <c r="B630" s="132"/>
      <c r="C630" s="86" t="s">
        <v>956</v>
      </c>
      <c r="D630" s="135" t="s">
        <v>961</v>
      </c>
      <c r="E630" s="163"/>
      <c r="F630" s="164"/>
      <c r="G630" s="71">
        <f t="shared" si="2781"/>
        <v>0</v>
      </c>
      <c r="H630" s="70"/>
      <c r="I630" s="72">
        <f t="shared" si="2631"/>
        <v>0</v>
      </c>
      <c r="J630" s="72">
        <f t="shared" si="2632"/>
        <v>0</v>
      </c>
      <c r="K630" s="94">
        <v>1975.6</v>
      </c>
      <c r="L630" s="75"/>
      <c r="M630" s="81"/>
      <c r="N630" s="88"/>
      <c r="O630" s="77">
        <f t="shared" ref="O630:Q630" si="2939">AA630+AD630+AG630+AJ630+AM630+AP630+AS630+AV630+AY630+BB630+BE630+BH630</f>
        <v>1975.6</v>
      </c>
      <c r="P630" s="77">
        <f t="shared" si="2939"/>
        <v>0</v>
      </c>
      <c r="Q630" s="77">
        <f t="shared" si="2939"/>
        <v>0</v>
      </c>
      <c r="R630" s="77">
        <f t="shared" ref="R630:T630" si="2940">IF(BK630=0,SUM(AA630+AD630+AG630+AJ630+AM630+AP630+AS630+AV630+AY630+BB630+BE630+BH630),BK630)</f>
        <v>1975.6</v>
      </c>
      <c r="S630" s="77">
        <f t="shared" si="2940"/>
        <v>0</v>
      </c>
      <c r="T630" s="77">
        <f t="shared" si="2940"/>
        <v>0</v>
      </c>
      <c r="U630" s="79">
        <f t="shared" si="2784"/>
        <v>0</v>
      </c>
      <c r="V630" s="79">
        <f t="shared" si="2785"/>
        <v>0</v>
      </c>
      <c r="W630" s="79">
        <f t="shared" si="2786"/>
        <v>0</v>
      </c>
      <c r="X630" s="80">
        <f t="shared" ref="X630:Y630" si="2941">IF(O630&gt;0,O630/K630,0)</f>
        <v>1</v>
      </c>
      <c r="Y630" s="80">
        <f t="shared" si="2941"/>
        <v>0</v>
      </c>
      <c r="Z630" s="80">
        <f t="shared" si="2391"/>
        <v>0</v>
      </c>
      <c r="AA630" s="81"/>
      <c r="AB630" s="81"/>
      <c r="AC630" s="81"/>
      <c r="AD630" s="81"/>
      <c r="AE630" s="128"/>
      <c r="AF630" s="83"/>
      <c r="AG630" s="83"/>
      <c r="AH630" s="83"/>
      <c r="AI630" s="81"/>
      <c r="AJ630" s="81"/>
      <c r="AK630" s="81"/>
      <c r="AL630" s="81"/>
      <c r="AM630" s="81"/>
      <c r="AN630" s="81"/>
      <c r="AO630" s="81"/>
      <c r="AP630" s="81"/>
      <c r="AQ630" s="81"/>
      <c r="AR630" s="81"/>
      <c r="AS630" s="81"/>
      <c r="AT630" s="81"/>
      <c r="AU630" s="81"/>
      <c r="AV630" s="82">
        <v>1975.6</v>
      </c>
      <c r="AW630" s="81"/>
      <c r="AX630" s="81"/>
      <c r="AY630" s="81"/>
      <c r="AZ630" s="81"/>
      <c r="BA630" s="81"/>
      <c r="BB630" s="81"/>
      <c r="BC630" s="81"/>
      <c r="BD630" s="81"/>
      <c r="BE630" s="81"/>
      <c r="BF630" s="81"/>
      <c r="BG630" s="81"/>
      <c r="BH630" s="81"/>
      <c r="BI630" s="81"/>
      <c r="BJ630" s="81"/>
      <c r="BK630" s="82">
        <v>1975.6</v>
      </c>
      <c r="BL630" s="82">
        <v>0</v>
      </c>
      <c r="BM630" s="82">
        <v>0</v>
      </c>
      <c r="BN630" s="81">
        <f t="shared" si="2788"/>
        <v>0</v>
      </c>
      <c r="BO630" s="75">
        <f t="shared" si="2789"/>
        <v>0</v>
      </c>
      <c r="BP630" s="81">
        <f t="shared" si="2790"/>
        <v>0</v>
      </c>
      <c r="BQ630" s="81">
        <f t="shared" si="2791"/>
        <v>0</v>
      </c>
      <c r="BR630" s="81">
        <f t="shared" si="2792"/>
        <v>0</v>
      </c>
      <c r="BS630" s="81">
        <f t="shared" si="2793"/>
        <v>0</v>
      </c>
      <c r="BT630" s="81">
        <f t="shared" si="2794"/>
        <v>0</v>
      </c>
      <c r="BU630" s="81">
        <f t="shared" si="2795"/>
        <v>0</v>
      </c>
      <c r="BV630" s="81">
        <f t="shared" si="2796"/>
        <v>0</v>
      </c>
      <c r="BW630" s="81">
        <f t="shared" si="2797"/>
        <v>0</v>
      </c>
      <c r="BX630" s="1"/>
      <c r="BY630" s="1"/>
      <c r="BZ630" s="1"/>
      <c r="CA630" s="1"/>
      <c r="CB630" s="1"/>
      <c r="CC630" s="1"/>
      <c r="CD630" s="1"/>
      <c r="CE630" s="1"/>
      <c r="CF630" s="1"/>
      <c r="CG630" s="1"/>
    </row>
    <row r="631" spans="1:85" ht="15.75" customHeight="1" outlineLevel="1">
      <c r="A631" s="134" t="s">
        <v>967</v>
      </c>
      <c r="B631" s="132"/>
      <c r="C631" s="86" t="s">
        <v>956</v>
      </c>
      <c r="D631" s="135" t="s">
        <v>968</v>
      </c>
      <c r="E631" s="163"/>
      <c r="F631" s="164"/>
      <c r="G631" s="71">
        <f t="shared" si="2781"/>
        <v>0</v>
      </c>
      <c r="H631" s="70"/>
      <c r="I631" s="72">
        <f t="shared" si="2631"/>
        <v>0</v>
      </c>
      <c r="J631" s="72">
        <f t="shared" si="2632"/>
        <v>0</v>
      </c>
      <c r="K631" s="94">
        <v>3435</v>
      </c>
      <c r="L631" s="75"/>
      <c r="M631" s="81"/>
      <c r="N631" s="88"/>
      <c r="O631" s="77">
        <f t="shared" ref="O631:Q631" si="2942">AA631+AD631+AG631+AJ631+AM631+AP631+AS631+AV631+AY631+BB631+BE631+BH631</f>
        <v>3435</v>
      </c>
      <c r="P631" s="77">
        <f t="shared" si="2942"/>
        <v>0</v>
      </c>
      <c r="Q631" s="77">
        <f t="shared" si="2942"/>
        <v>0</v>
      </c>
      <c r="R631" s="77">
        <f t="shared" ref="R631:T631" si="2943">IF(BK631=0,SUM(AA631+AD631+AG631+AJ631+AM631+AP631+AS631+AV631+AY631+BB631+BE631+BH631),BK631)</f>
        <v>3435</v>
      </c>
      <c r="S631" s="77">
        <f t="shared" si="2943"/>
        <v>0</v>
      </c>
      <c r="T631" s="77">
        <f t="shared" si="2943"/>
        <v>0</v>
      </c>
      <c r="U631" s="79">
        <f t="shared" si="2784"/>
        <v>0</v>
      </c>
      <c r="V631" s="79">
        <f t="shared" si="2785"/>
        <v>0</v>
      </c>
      <c r="W631" s="79">
        <f t="shared" si="2786"/>
        <v>0</v>
      </c>
      <c r="X631" s="80">
        <f t="shared" ref="X631:Y631" si="2944">IF(O631&gt;0,O631/K631,0)</f>
        <v>1</v>
      </c>
      <c r="Y631" s="80">
        <f t="shared" si="2944"/>
        <v>0</v>
      </c>
      <c r="Z631" s="80">
        <f t="shared" si="2391"/>
        <v>0</v>
      </c>
      <c r="AA631" s="81"/>
      <c r="AB631" s="81"/>
      <c r="AC631" s="81"/>
      <c r="AD631" s="81"/>
      <c r="AE631" s="128"/>
      <c r="AF631" s="83"/>
      <c r="AG631" s="83"/>
      <c r="AH631" s="83"/>
      <c r="AI631" s="81"/>
      <c r="AJ631" s="81"/>
      <c r="AK631" s="81"/>
      <c r="AL631" s="81"/>
      <c r="AM631" s="81"/>
      <c r="AN631" s="81"/>
      <c r="AO631" s="81"/>
      <c r="AP631" s="81"/>
      <c r="AQ631" s="81"/>
      <c r="AR631" s="81"/>
      <c r="AS631" s="81"/>
      <c r="AT631" s="81"/>
      <c r="AU631" s="81"/>
      <c r="AV631" s="82">
        <v>3435</v>
      </c>
      <c r="AW631" s="81"/>
      <c r="AX631" s="81"/>
      <c r="AY631" s="81"/>
      <c r="AZ631" s="81"/>
      <c r="BA631" s="81"/>
      <c r="BB631" s="81"/>
      <c r="BC631" s="81"/>
      <c r="BD631" s="81"/>
      <c r="BE631" s="81"/>
      <c r="BF631" s="81"/>
      <c r="BG631" s="81"/>
      <c r="BH631" s="81"/>
      <c r="BI631" s="81"/>
      <c r="BJ631" s="81"/>
      <c r="BK631" s="82">
        <v>3435</v>
      </c>
      <c r="BL631" s="82">
        <v>0</v>
      </c>
      <c r="BM631" s="82">
        <v>0</v>
      </c>
      <c r="BN631" s="81">
        <f t="shared" si="2788"/>
        <v>0</v>
      </c>
      <c r="BO631" s="75">
        <f t="shared" si="2789"/>
        <v>0</v>
      </c>
      <c r="BP631" s="81">
        <f t="shared" si="2790"/>
        <v>0</v>
      </c>
      <c r="BQ631" s="81">
        <f t="shared" si="2791"/>
        <v>0</v>
      </c>
      <c r="BR631" s="81">
        <f t="shared" si="2792"/>
        <v>0</v>
      </c>
      <c r="BS631" s="81">
        <f t="shared" si="2793"/>
        <v>0</v>
      </c>
      <c r="BT631" s="81">
        <f t="shared" si="2794"/>
        <v>0</v>
      </c>
      <c r="BU631" s="81">
        <f t="shared" si="2795"/>
        <v>0</v>
      </c>
      <c r="BV631" s="81">
        <f t="shared" si="2796"/>
        <v>0</v>
      </c>
      <c r="BW631" s="81">
        <f t="shared" si="2797"/>
        <v>0</v>
      </c>
      <c r="BX631" s="1"/>
      <c r="BY631" s="1"/>
      <c r="BZ631" s="1"/>
      <c r="CA631" s="1"/>
      <c r="CB631" s="1"/>
      <c r="CC631" s="1"/>
      <c r="CD631" s="1"/>
      <c r="CE631" s="1"/>
      <c r="CF631" s="1"/>
      <c r="CG631" s="1"/>
    </row>
    <row r="632" spans="1:85" ht="15.75" customHeight="1" outlineLevel="1">
      <c r="A632" s="134" t="s">
        <v>969</v>
      </c>
      <c r="B632" s="132"/>
      <c r="C632" s="86" t="s">
        <v>956</v>
      </c>
      <c r="D632" s="135" t="s">
        <v>963</v>
      </c>
      <c r="E632" s="163"/>
      <c r="F632" s="164"/>
      <c r="G632" s="71">
        <f t="shared" si="2781"/>
        <v>0</v>
      </c>
      <c r="H632" s="70"/>
      <c r="I632" s="72">
        <f t="shared" si="2631"/>
        <v>0</v>
      </c>
      <c r="J632" s="72">
        <f t="shared" si="2632"/>
        <v>0</v>
      </c>
      <c r="K632" s="94">
        <v>3900</v>
      </c>
      <c r="L632" s="75"/>
      <c r="M632" s="81"/>
      <c r="N632" s="88"/>
      <c r="O632" s="77">
        <f t="shared" ref="O632:Q632" si="2945">AA632+AD632+AG632+AJ632+AM632+AP632+AS632+AV632+AY632+BB632+BE632+BH632</f>
        <v>3900</v>
      </c>
      <c r="P632" s="77">
        <f t="shared" si="2945"/>
        <v>0</v>
      </c>
      <c r="Q632" s="77">
        <f t="shared" si="2945"/>
        <v>0</v>
      </c>
      <c r="R632" s="77">
        <f t="shared" ref="R632:T632" si="2946">IF(BK632=0,SUM(AA632+AD632+AG632+AJ632+AM632+AP632+AS632+AV632+AY632+BB632+BE632+BH632),BK632)</f>
        <v>3900</v>
      </c>
      <c r="S632" s="77">
        <f t="shared" si="2946"/>
        <v>0</v>
      </c>
      <c r="T632" s="77">
        <f t="shared" si="2946"/>
        <v>0</v>
      </c>
      <c r="U632" s="79">
        <f t="shared" si="2784"/>
        <v>0</v>
      </c>
      <c r="V632" s="79">
        <f t="shared" si="2785"/>
        <v>0</v>
      </c>
      <c r="W632" s="79">
        <f t="shared" si="2786"/>
        <v>0</v>
      </c>
      <c r="X632" s="80">
        <f t="shared" ref="X632:Y632" si="2947">IF(O632&gt;0,O632/K632,0)</f>
        <v>1</v>
      </c>
      <c r="Y632" s="80">
        <f t="shared" si="2947"/>
        <v>0</v>
      </c>
      <c r="Z632" s="80">
        <f t="shared" si="2391"/>
        <v>0</v>
      </c>
      <c r="AA632" s="81"/>
      <c r="AB632" s="81"/>
      <c r="AC632" s="81"/>
      <c r="AD632" s="81"/>
      <c r="AE632" s="128"/>
      <c r="AF632" s="83"/>
      <c r="AG632" s="83"/>
      <c r="AH632" s="83"/>
      <c r="AI632" s="81"/>
      <c r="AJ632" s="81"/>
      <c r="AK632" s="81"/>
      <c r="AL632" s="81"/>
      <c r="AM632" s="81"/>
      <c r="AN632" s="81"/>
      <c r="AO632" s="81"/>
      <c r="AP632" s="81"/>
      <c r="AQ632" s="81"/>
      <c r="AR632" s="81"/>
      <c r="AS632" s="81"/>
      <c r="AT632" s="81"/>
      <c r="AU632" s="81"/>
      <c r="AV632" s="82">
        <v>3900</v>
      </c>
      <c r="AW632" s="81"/>
      <c r="AX632" s="81"/>
      <c r="AY632" s="81"/>
      <c r="AZ632" s="81"/>
      <c r="BA632" s="81"/>
      <c r="BB632" s="81"/>
      <c r="BC632" s="81"/>
      <c r="BD632" s="81"/>
      <c r="BE632" s="81"/>
      <c r="BF632" s="81"/>
      <c r="BG632" s="81"/>
      <c r="BH632" s="81"/>
      <c r="BI632" s="81"/>
      <c r="BJ632" s="81"/>
      <c r="BK632" s="82">
        <v>3900</v>
      </c>
      <c r="BL632" s="82">
        <v>0</v>
      </c>
      <c r="BM632" s="82">
        <v>0</v>
      </c>
      <c r="BN632" s="81">
        <f t="shared" si="2788"/>
        <v>0</v>
      </c>
      <c r="BO632" s="75">
        <f t="shared" si="2789"/>
        <v>0</v>
      </c>
      <c r="BP632" s="81">
        <f t="shared" si="2790"/>
        <v>0</v>
      </c>
      <c r="BQ632" s="81">
        <f t="shared" si="2791"/>
        <v>0</v>
      </c>
      <c r="BR632" s="81">
        <f t="shared" si="2792"/>
        <v>0</v>
      </c>
      <c r="BS632" s="81">
        <f t="shared" si="2793"/>
        <v>0</v>
      </c>
      <c r="BT632" s="81">
        <f t="shared" si="2794"/>
        <v>0</v>
      </c>
      <c r="BU632" s="81">
        <f t="shared" si="2795"/>
        <v>0</v>
      </c>
      <c r="BV632" s="81">
        <f t="shared" si="2796"/>
        <v>0</v>
      </c>
      <c r="BW632" s="81">
        <f t="shared" si="2797"/>
        <v>0</v>
      </c>
      <c r="BX632" s="1"/>
      <c r="BY632" s="1"/>
      <c r="BZ632" s="1"/>
      <c r="CA632" s="1"/>
      <c r="CB632" s="1"/>
      <c r="CC632" s="1"/>
      <c r="CD632" s="1"/>
      <c r="CE632" s="1"/>
      <c r="CF632" s="1"/>
      <c r="CG632" s="1"/>
    </row>
    <row r="633" spans="1:85" ht="15.75" customHeight="1" outlineLevel="1">
      <c r="A633" s="134" t="s">
        <v>970</v>
      </c>
      <c r="B633" s="132"/>
      <c r="C633" s="129" t="s">
        <v>956</v>
      </c>
      <c r="D633" s="135" t="s">
        <v>961</v>
      </c>
      <c r="E633" s="163"/>
      <c r="F633" s="164"/>
      <c r="G633" s="71">
        <f t="shared" si="2781"/>
        <v>0</v>
      </c>
      <c r="H633" s="70"/>
      <c r="I633" s="72">
        <f t="shared" si="2631"/>
        <v>0</v>
      </c>
      <c r="J633" s="72">
        <f t="shared" si="2632"/>
        <v>0</v>
      </c>
      <c r="K633" s="94">
        <v>64250</v>
      </c>
      <c r="L633" s="75"/>
      <c r="M633" s="81"/>
      <c r="N633" s="88"/>
      <c r="O633" s="77">
        <f t="shared" ref="O633:Q633" si="2948">AA633+AD633+AG633+AJ633+AM633+AP633+AS633+AV633+AY633+BB633+BE633+BH633</f>
        <v>0</v>
      </c>
      <c r="P633" s="77">
        <f t="shared" si="2948"/>
        <v>0</v>
      </c>
      <c r="Q633" s="77">
        <f t="shared" si="2948"/>
        <v>0</v>
      </c>
      <c r="R633" s="77">
        <f t="shared" ref="R633:T633" si="2949">IF(BK633=0,SUM(AA633+AD633+AG633+AJ633+AM633+AP633+AS633+AV633+AY633+BB633+BE633+BH633),BK633)</f>
        <v>0</v>
      </c>
      <c r="S633" s="77">
        <f t="shared" si="2949"/>
        <v>0</v>
      </c>
      <c r="T633" s="77">
        <f t="shared" si="2949"/>
        <v>0</v>
      </c>
      <c r="U633" s="78">
        <f t="shared" si="2784"/>
        <v>64250</v>
      </c>
      <c r="V633" s="79">
        <f t="shared" si="2785"/>
        <v>0</v>
      </c>
      <c r="W633" s="79">
        <f t="shared" si="2786"/>
        <v>0</v>
      </c>
      <c r="X633" s="80">
        <f t="shared" ref="X633:Y633" si="2950">IF(O633&gt;0,O633/K633,0)</f>
        <v>0</v>
      </c>
      <c r="Y633" s="80">
        <f t="shared" si="2950"/>
        <v>0</v>
      </c>
      <c r="Z633" s="80">
        <f t="shared" si="2391"/>
        <v>0</v>
      </c>
      <c r="AA633" s="81"/>
      <c r="AB633" s="81"/>
      <c r="AC633" s="81"/>
      <c r="AD633" s="81"/>
      <c r="AE633" s="128"/>
      <c r="AF633" s="83"/>
      <c r="AG633" s="83"/>
      <c r="AH633" s="83"/>
      <c r="AI633" s="81"/>
      <c r="AJ633" s="81"/>
      <c r="AK633" s="81"/>
      <c r="AL633" s="81"/>
      <c r="AM633" s="81"/>
      <c r="AN633" s="81"/>
      <c r="AO633" s="81"/>
      <c r="AP633" s="81"/>
      <c r="AQ633" s="81"/>
      <c r="AR633" s="81"/>
      <c r="AS633" s="81"/>
      <c r="AT633" s="81"/>
      <c r="AU633" s="81"/>
      <c r="AV633" s="81"/>
      <c r="AW633" s="81"/>
      <c r="AX633" s="81"/>
      <c r="AY633" s="81"/>
      <c r="AZ633" s="81"/>
      <c r="BA633" s="81"/>
      <c r="BB633" s="81"/>
      <c r="BC633" s="81"/>
      <c r="BD633" s="81"/>
      <c r="BE633" s="81"/>
      <c r="BF633" s="81"/>
      <c r="BG633" s="81"/>
      <c r="BH633" s="81"/>
      <c r="BI633" s="81"/>
      <c r="BJ633" s="81"/>
      <c r="BK633" s="82">
        <v>0</v>
      </c>
      <c r="BL633" s="82">
        <v>0</v>
      </c>
      <c r="BM633" s="82">
        <v>0</v>
      </c>
      <c r="BN633" s="81">
        <f t="shared" si="2788"/>
        <v>0</v>
      </c>
      <c r="BO633" s="75">
        <f t="shared" si="2789"/>
        <v>0</v>
      </c>
      <c r="BP633" s="81">
        <f t="shared" si="2790"/>
        <v>0</v>
      </c>
      <c r="BQ633" s="81">
        <f t="shared" si="2791"/>
        <v>64250</v>
      </c>
      <c r="BR633" s="81">
        <f t="shared" si="2792"/>
        <v>0</v>
      </c>
      <c r="BS633" s="81">
        <f t="shared" si="2793"/>
        <v>64250</v>
      </c>
      <c r="BT633" s="81">
        <f t="shared" si="2794"/>
        <v>0</v>
      </c>
      <c r="BU633" s="81">
        <f t="shared" si="2795"/>
        <v>0</v>
      </c>
      <c r="BV633" s="81">
        <f t="shared" si="2796"/>
        <v>64250</v>
      </c>
      <c r="BW633" s="81">
        <f t="shared" si="2797"/>
        <v>64250</v>
      </c>
      <c r="BX633" s="1"/>
      <c r="BY633" s="1"/>
      <c r="BZ633" s="1"/>
      <c r="CA633" s="1"/>
      <c r="CB633" s="1"/>
      <c r="CC633" s="1"/>
      <c r="CD633" s="1"/>
      <c r="CE633" s="1"/>
      <c r="CF633" s="1"/>
      <c r="CG633" s="1"/>
    </row>
    <row r="634" spans="1:85" ht="15.75" customHeight="1" outlineLevel="1">
      <c r="A634" s="134" t="s">
        <v>971</v>
      </c>
      <c r="B634" s="132"/>
      <c r="C634" s="129" t="s">
        <v>956</v>
      </c>
      <c r="D634" s="135" t="s">
        <v>972</v>
      </c>
      <c r="E634" s="163"/>
      <c r="F634" s="164"/>
      <c r="G634" s="71">
        <f t="shared" si="2781"/>
        <v>0</v>
      </c>
      <c r="H634" s="70"/>
      <c r="I634" s="72">
        <f t="shared" si="2631"/>
        <v>0</v>
      </c>
      <c r="J634" s="72">
        <f t="shared" si="2632"/>
        <v>0</v>
      </c>
      <c r="K634" s="94">
        <v>51026</v>
      </c>
      <c r="L634" s="75"/>
      <c r="M634" s="81"/>
      <c r="N634" s="88"/>
      <c r="O634" s="77">
        <f t="shared" ref="O634:Q634" si="2951">AA634+AD634+AG634+AJ634+AM634+AP634+AS634+AV634+AY634+BB634+BE634+BH634</f>
        <v>51026</v>
      </c>
      <c r="P634" s="77">
        <f t="shared" si="2951"/>
        <v>0</v>
      </c>
      <c r="Q634" s="77">
        <f t="shared" si="2951"/>
        <v>0</v>
      </c>
      <c r="R634" s="77">
        <f t="shared" ref="R634:T634" si="2952">IF(BK634=0,SUM(AA634+AD634+AG634+AJ634+AM634+AP634+AS634+AV634+AY634+BB634+BE634+BH634),BK634)</f>
        <v>51026</v>
      </c>
      <c r="S634" s="77">
        <f t="shared" si="2952"/>
        <v>0</v>
      </c>
      <c r="T634" s="77">
        <f t="shared" si="2952"/>
        <v>0</v>
      </c>
      <c r="U634" s="78">
        <f t="shared" si="2784"/>
        <v>0</v>
      </c>
      <c r="V634" s="79">
        <f t="shared" si="2785"/>
        <v>0</v>
      </c>
      <c r="W634" s="79">
        <f t="shared" si="2786"/>
        <v>0</v>
      </c>
      <c r="X634" s="80">
        <f t="shared" ref="X634:Y634" si="2953">IF(O634&gt;0,O634/K634,0)</f>
        <v>1</v>
      </c>
      <c r="Y634" s="80">
        <f t="shared" si="2953"/>
        <v>0</v>
      </c>
      <c r="Z634" s="80">
        <f t="shared" si="2391"/>
        <v>0</v>
      </c>
      <c r="AA634" s="81"/>
      <c r="AB634" s="81"/>
      <c r="AC634" s="81"/>
      <c r="AD634" s="81"/>
      <c r="AE634" s="128"/>
      <c r="AF634" s="83"/>
      <c r="AG634" s="83"/>
      <c r="AH634" s="83"/>
      <c r="AI634" s="81"/>
      <c r="AJ634" s="81"/>
      <c r="AK634" s="81"/>
      <c r="AL634" s="81"/>
      <c r="AM634" s="81"/>
      <c r="AN634" s="81"/>
      <c r="AO634" s="81"/>
      <c r="AP634" s="81"/>
      <c r="AQ634" s="81"/>
      <c r="AR634" s="81"/>
      <c r="AS634" s="81"/>
      <c r="AT634" s="81"/>
      <c r="AU634" s="81"/>
      <c r="AV634" s="81"/>
      <c r="AW634" s="81"/>
      <c r="AX634" s="81"/>
      <c r="AY634" s="81"/>
      <c r="AZ634" s="81"/>
      <c r="BA634" s="81"/>
      <c r="BB634" s="81"/>
      <c r="BC634" s="81"/>
      <c r="BD634" s="81"/>
      <c r="BE634" s="81"/>
      <c r="BF634" s="81"/>
      <c r="BG634" s="81"/>
      <c r="BH634" s="82">
        <v>51026</v>
      </c>
      <c r="BI634" s="81"/>
      <c r="BJ634" s="81"/>
      <c r="BK634" s="82">
        <v>51026</v>
      </c>
      <c r="BL634" s="82">
        <v>0</v>
      </c>
      <c r="BM634" s="82">
        <v>0</v>
      </c>
      <c r="BN634" s="81">
        <f t="shared" si="2788"/>
        <v>0</v>
      </c>
      <c r="BO634" s="75">
        <f t="shared" si="2789"/>
        <v>0</v>
      </c>
      <c r="BP634" s="81">
        <f t="shared" si="2790"/>
        <v>0</v>
      </c>
      <c r="BQ634" s="81">
        <f t="shared" si="2791"/>
        <v>0</v>
      </c>
      <c r="BR634" s="81">
        <f t="shared" si="2792"/>
        <v>0</v>
      </c>
      <c r="BS634" s="81">
        <f t="shared" si="2793"/>
        <v>0</v>
      </c>
      <c r="BT634" s="81">
        <f t="shared" si="2794"/>
        <v>0</v>
      </c>
      <c r="BU634" s="81">
        <f t="shared" si="2795"/>
        <v>0</v>
      </c>
      <c r="BV634" s="81">
        <f t="shared" si="2796"/>
        <v>0</v>
      </c>
      <c r="BW634" s="81">
        <f t="shared" si="2797"/>
        <v>0</v>
      </c>
      <c r="BX634" s="1"/>
      <c r="BY634" s="1"/>
      <c r="BZ634" s="1"/>
      <c r="CA634" s="1"/>
      <c r="CB634" s="1"/>
      <c r="CC634" s="1"/>
      <c r="CD634" s="1"/>
      <c r="CE634" s="1"/>
      <c r="CF634" s="1"/>
      <c r="CG634" s="1"/>
    </row>
    <row r="635" spans="1:85" ht="15.75" customHeight="1" outlineLevel="1">
      <c r="A635" s="134" t="s">
        <v>973</v>
      </c>
      <c r="B635" s="132"/>
      <c r="C635" s="129" t="s">
        <v>956</v>
      </c>
      <c r="D635" s="135" t="s">
        <v>965</v>
      </c>
      <c r="E635" s="163"/>
      <c r="F635" s="164"/>
      <c r="G635" s="71">
        <f t="shared" si="2781"/>
        <v>0</v>
      </c>
      <c r="H635" s="70"/>
      <c r="I635" s="72">
        <f t="shared" si="2631"/>
        <v>0</v>
      </c>
      <c r="J635" s="72">
        <f t="shared" si="2632"/>
        <v>0</v>
      </c>
      <c r="K635" s="94">
        <v>4103.6499999999996</v>
      </c>
      <c r="L635" s="75"/>
      <c r="M635" s="81"/>
      <c r="N635" s="88"/>
      <c r="O635" s="77">
        <f t="shared" ref="O635:Q635" si="2954">AA635+AD635+AG635+AJ635+AM635+AP635+AS635+AV635+AY635+BB635+BE635+BH635</f>
        <v>4103.6499999999996</v>
      </c>
      <c r="P635" s="77">
        <f t="shared" si="2954"/>
        <v>0</v>
      </c>
      <c r="Q635" s="77">
        <f t="shared" si="2954"/>
        <v>0</v>
      </c>
      <c r="R635" s="77">
        <f t="shared" ref="R635:T635" si="2955">IF(BK635=0,SUM(AA635+AD635+AG635+AJ635+AM635+AP635+AS635+AV635+AY635+BB635+BE635+BH635),BK635)</f>
        <v>4103.6499999999996</v>
      </c>
      <c r="S635" s="77">
        <f t="shared" si="2955"/>
        <v>0</v>
      </c>
      <c r="T635" s="77">
        <f t="shared" si="2955"/>
        <v>0</v>
      </c>
      <c r="U635" s="78">
        <f t="shared" si="2784"/>
        <v>0</v>
      </c>
      <c r="V635" s="79">
        <f t="shared" si="2785"/>
        <v>0</v>
      </c>
      <c r="W635" s="79">
        <f t="shared" si="2786"/>
        <v>0</v>
      </c>
      <c r="X635" s="80">
        <f t="shared" ref="X635:Y635" si="2956">IF(O635&gt;0,O635/K635,0)</f>
        <v>1</v>
      </c>
      <c r="Y635" s="80">
        <f t="shared" si="2956"/>
        <v>0</v>
      </c>
      <c r="Z635" s="80">
        <f t="shared" si="2391"/>
        <v>0</v>
      </c>
      <c r="AA635" s="81"/>
      <c r="AB635" s="81"/>
      <c r="AC635" s="81"/>
      <c r="AD635" s="81"/>
      <c r="AE635" s="128"/>
      <c r="AF635" s="83"/>
      <c r="AG635" s="83"/>
      <c r="AH635" s="83"/>
      <c r="AI635" s="81"/>
      <c r="AJ635" s="81"/>
      <c r="AK635" s="81"/>
      <c r="AL635" s="81"/>
      <c r="AM635" s="81"/>
      <c r="AN635" s="81"/>
      <c r="AO635" s="81"/>
      <c r="AP635" s="81"/>
      <c r="AQ635" s="81"/>
      <c r="AR635" s="81"/>
      <c r="AS635" s="81"/>
      <c r="AT635" s="81"/>
      <c r="AU635" s="81"/>
      <c r="AV635" s="81"/>
      <c r="AW635" s="81"/>
      <c r="AX635" s="81"/>
      <c r="AY635" s="81"/>
      <c r="AZ635" s="81"/>
      <c r="BA635" s="81"/>
      <c r="BB635" s="81"/>
      <c r="BC635" s="81"/>
      <c r="BD635" s="81"/>
      <c r="BE635" s="82">
        <v>4103.6499999999996</v>
      </c>
      <c r="BF635" s="81"/>
      <c r="BG635" s="81"/>
      <c r="BH635" s="81"/>
      <c r="BI635" s="81"/>
      <c r="BJ635" s="81"/>
      <c r="BK635" s="82">
        <v>4103.6499999999996</v>
      </c>
      <c r="BL635" s="82">
        <v>0</v>
      </c>
      <c r="BM635" s="82">
        <v>0</v>
      </c>
      <c r="BN635" s="81">
        <f t="shared" si="2788"/>
        <v>0</v>
      </c>
      <c r="BO635" s="75">
        <f t="shared" si="2789"/>
        <v>0</v>
      </c>
      <c r="BP635" s="81">
        <f t="shared" si="2790"/>
        <v>0</v>
      </c>
      <c r="BQ635" s="81">
        <f t="shared" si="2791"/>
        <v>0</v>
      </c>
      <c r="BR635" s="81">
        <f t="shared" si="2792"/>
        <v>0</v>
      </c>
      <c r="BS635" s="81">
        <f t="shared" si="2793"/>
        <v>0</v>
      </c>
      <c r="BT635" s="81">
        <f t="shared" si="2794"/>
        <v>0</v>
      </c>
      <c r="BU635" s="81">
        <f t="shared" si="2795"/>
        <v>0</v>
      </c>
      <c r="BV635" s="81">
        <f t="shared" si="2796"/>
        <v>0</v>
      </c>
      <c r="BW635" s="81">
        <f t="shared" si="2797"/>
        <v>0</v>
      </c>
      <c r="BX635" s="1"/>
      <c r="BY635" s="1"/>
      <c r="BZ635" s="1"/>
      <c r="CA635" s="1"/>
      <c r="CB635" s="1"/>
      <c r="CC635" s="1"/>
      <c r="CD635" s="1"/>
      <c r="CE635" s="1"/>
      <c r="CF635" s="1"/>
      <c r="CG635" s="1"/>
    </row>
    <row r="636" spans="1:85" ht="15.75" customHeight="1" outlineLevel="1">
      <c r="A636" s="145"/>
      <c r="B636" s="132" t="s">
        <v>974</v>
      </c>
      <c r="C636" s="86" t="s">
        <v>596</v>
      </c>
      <c r="D636" s="292" t="s">
        <v>975</v>
      </c>
      <c r="E636" s="163"/>
      <c r="F636" s="164"/>
      <c r="G636" s="71">
        <f t="shared" si="2781"/>
        <v>0</v>
      </c>
      <c r="H636" s="70"/>
      <c r="I636" s="72">
        <f t="shared" si="2631"/>
        <v>0</v>
      </c>
      <c r="J636" s="72">
        <f t="shared" si="2632"/>
        <v>0</v>
      </c>
      <c r="K636" s="76"/>
      <c r="L636" s="75">
        <v>353.91</v>
      </c>
      <c r="M636" s="81"/>
      <c r="N636" s="88"/>
      <c r="O636" s="77">
        <f t="shared" ref="O636:Q636" si="2957">AA636+AD636+AG636+AJ636+AM636+AP636+AS636+AV636+AY636+BB636+BE636+BH636</f>
        <v>0</v>
      </c>
      <c r="P636" s="77">
        <f t="shared" si="2957"/>
        <v>353.91</v>
      </c>
      <c r="Q636" s="77">
        <f t="shared" si="2957"/>
        <v>0</v>
      </c>
      <c r="R636" s="77">
        <f t="shared" ref="R636:T636" si="2958">IF(BK636=0,SUM(AA636+AD636+AG636+AJ636+AM636+AP636+AS636+AV636+AY636+BB636+BE636+BH636),BK636)</f>
        <v>0</v>
      </c>
      <c r="S636" s="77">
        <f t="shared" si="2958"/>
        <v>353.91</v>
      </c>
      <c r="T636" s="77">
        <f t="shared" si="2958"/>
        <v>0</v>
      </c>
      <c r="U636" s="79">
        <f t="shared" si="2784"/>
        <v>0</v>
      </c>
      <c r="V636" s="79">
        <f t="shared" si="2785"/>
        <v>0</v>
      </c>
      <c r="W636" s="79">
        <f t="shared" si="2786"/>
        <v>0</v>
      </c>
      <c r="X636" s="80">
        <f t="shared" ref="X636:Y636" si="2959">IF(O636&gt;0,O636/K636,0)</f>
        <v>0</v>
      </c>
      <c r="Y636" s="80">
        <f t="shared" si="2959"/>
        <v>1</v>
      </c>
      <c r="Z636" s="80">
        <f t="shared" si="2391"/>
        <v>0</v>
      </c>
      <c r="AA636" s="81"/>
      <c r="AB636" s="81"/>
      <c r="AC636" s="81"/>
      <c r="AD636" s="81"/>
      <c r="AE636" s="128">
        <v>353.91</v>
      </c>
      <c r="AF636" s="83"/>
      <c r="AG636" s="83"/>
      <c r="AH636" s="83"/>
      <c r="AI636" s="81"/>
      <c r="AJ636" s="81"/>
      <c r="AK636" s="81"/>
      <c r="AL636" s="81"/>
      <c r="AM636" s="81"/>
      <c r="AN636" s="81"/>
      <c r="AO636" s="81"/>
      <c r="AP636" s="81"/>
      <c r="AQ636" s="81"/>
      <c r="AR636" s="81"/>
      <c r="AS636" s="81"/>
      <c r="AT636" s="81"/>
      <c r="AU636" s="81"/>
      <c r="AV636" s="81"/>
      <c r="AW636" s="81"/>
      <c r="AX636" s="81"/>
      <c r="AY636" s="81"/>
      <c r="AZ636" s="81"/>
      <c r="BA636" s="81"/>
      <c r="BB636" s="81"/>
      <c r="BC636" s="81"/>
      <c r="BD636" s="81"/>
      <c r="BE636" s="81"/>
      <c r="BF636" s="81"/>
      <c r="BG636" s="81"/>
      <c r="BH636" s="81"/>
      <c r="BI636" s="81"/>
      <c r="BJ636" s="81"/>
      <c r="BK636" s="82">
        <v>0</v>
      </c>
      <c r="BL636" s="82">
        <v>353.91</v>
      </c>
      <c r="BM636" s="82">
        <v>0</v>
      </c>
      <c r="BN636" s="81">
        <f t="shared" si="2788"/>
        <v>0</v>
      </c>
      <c r="BO636" s="75">
        <f t="shared" si="2789"/>
        <v>0</v>
      </c>
      <c r="BP636" s="81">
        <f t="shared" si="2790"/>
        <v>0</v>
      </c>
      <c r="BQ636" s="81">
        <f t="shared" si="2791"/>
        <v>0</v>
      </c>
      <c r="BR636" s="81">
        <f t="shared" si="2792"/>
        <v>0</v>
      </c>
      <c r="BS636" s="81">
        <f t="shared" si="2793"/>
        <v>0</v>
      </c>
      <c r="BT636" s="81">
        <f t="shared" si="2794"/>
        <v>0</v>
      </c>
      <c r="BU636" s="81">
        <f t="shared" si="2795"/>
        <v>0</v>
      </c>
      <c r="BV636" s="81">
        <f t="shared" si="2796"/>
        <v>0</v>
      </c>
      <c r="BW636" s="81">
        <f t="shared" si="2797"/>
        <v>0</v>
      </c>
      <c r="BX636" s="1"/>
      <c r="BY636" s="1"/>
      <c r="BZ636" s="1"/>
      <c r="CA636" s="1"/>
      <c r="CB636" s="1"/>
      <c r="CC636" s="1"/>
      <c r="CD636" s="1"/>
      <c r="CE636" s="1"/>
      <c r="CF636" s="1"/>
      <c r="CG636" s="1"/>
    </row>
    <row r="637" spans="1:85" ht="15.75" customHeight="1" outlineLevel="1">
      <c r="A637" s="145"/>
      <c r="B637" s="132" t="s">
        <v>935</v>
      </c>
      <c r="C637" s="86" t="s">
        <v>596</v>
      </c>
      <c r="D637" s="292" t="s">
        <v>976</v>
      </c>
      <c r="E637" s="163"/>
      <c r="F637" s="164"/>
      <c r="G637" s="71">
        <f t="shared" si="2781"/>
        <v>0</v>
      </c>
      <c r="H637" s="70"/>
      <c r="I637" s="72">
        <f t="shared" si="2631"/>
        <v>0</v>
      </c>
      <c r="J637" s="72">
        <f t="shared" si="2632"/>
        <v>0</v>
      </c>
      <c r="K637" s="76"/>
      <c r="L637" s="75">
        <v>235.5</v>
      </c>
      <c r="M637" s="81"/>
      <c r="N637" s="88"/>
      <c r="O637" s="77">
        <f t="shared" ref="O637:Q637" si="2960">AA637+AD637+AG637+AJ637+AM637+AP637+AS637+AV637+AY637+BB637+BE637+BH637</f>
        <v>0</v>
      </c>
      <c r="P637" s="77">
        <f t="shared" si="2960"/>
        <v>235.5</v>
      </c>
      <c r="Q637" s="77">
        <f t="shared" si="2960"/>
        <v>0</v>
      </c>
      <c r="R637" s="77">
        <f t="shared" ref="R637:T637" si="2961">IF(BK637=0,SUM(AA637+AD637+AG637+AJ637+AM637+AP637+AS637+AV637+AY637+BB637+BE637+BH637),BK637)</f>
        <v>0</v>
      </c>
      <c r="S637" s="77">
        <f t="shared" si="2961"/>
        <v>235.5</v>
      </c>
      <c r="T637" s="77">
        <f t="shared" si="2961"/>
        <v>0</v>
      </c>
      <c r="U637" s="79">
        <f t="shared" si="2784"/>
        <v>0</v>
      </c>
      <c r="V637" s="79">
        <f t="shared" si="2785"/>
        <v>0</v>
      </c>
      <c r="W637" s="79">
        <f t="shared" si="2786"/>
        <v>0</v>
      </c>
      <c r="X637" s="80">
        <f t="shared" ref="X637:Y637" si="2962">IF(O637&gt;0,O637/K637,0)</f>
        <v>0</v>
      </c>
      <c r="Y637" s="80">
        <f t="shared" si="2962"/>
        <v>1</v>
      </c>
      <c r="Z637" s="80">
        <f t="shared" si="2391"/>
        <v>0</v>
      </c>
      <c r="AA637" s="81"/>
      <c r="AB637" s="81"/>
      <c r="AC637" s="81"/>
      <c r="AD637" s="81"/>
      <c r="AE637" s="128">
        <v>235.5</v>
      </c>
      <c r="AF637" s="83"/>
      <c r="AG637" s="83"/>
      <c r="AH637" s="83"/>
      <c r="AI637" s="81"/>
      <c r="AJ637" s="81"/>
      <c r="AK637" s="81"/>
      <c r="AL637" s="81"/>
      <c r="AM637" s="81"/>
      <c r="AN637" s="81"/>
      <c r="AO637" s="81"/>
      <c r="AP637" s="81"/>
      <c r="AQ637" s="81"/>
      <c r="AR637" s="81"/>
      <c r="AS637" s="81"/>
      <c r="AT637" s="81"/>
      <c r="AU637" s="81"/>
      <c r="AV637" s="81"/>
      <c r="AW637" s="81"/>
      <c r="AX637" s="81"/>
      <c r="AY637" s="81"/>
      <c r="AZ637" s="81"/>
      <c r="BA637" s="81"/>
      <c r="BB637" s="81"/>
      <c r="BC637" s="81"/>
      <c r="BD637" s="81"/>
      <c r="BE637" s="81"/>
      <c r="BF637" s="81"/>
      <c r="BG637" s="81"/>
      <c r="BH637" s="81"/>
      <c r="BI637" s="81"/>
      <c r="BJ637" s="81"/>
      <c r="BK637" s="82">
        <v>0</v>
      </c>
      <c r="BL637" s="82">
        <v>235.5</v>
      </c>
      <c r="BM637" s="82">
        <v>0</v>
      </c>
      <c r="BN637" s="81">
        <f t="shared" si="2788"/>
        <v>0</v>
      </c>
      <c r="BO637" s="75">
        <f t="shared" si="2789"/>
        <v>0</v>
      </c>
      <c r="BP637" s="81">
        <f t="shared" si="2790"/>
        <v>0</v>
      </c>
      <c r="BQ637" s="81">
        <f t="shared" si="2791"/>
        <v>0</v>
      </c>
      <c r="BR637" s="81">
        <f t="shared" si="2792"/>
        <v>0</v>
      </c>
      <c r="BS637" s="81">
        <f t="shared" si="2793"/>
        <v>0</v>
      </c>
      <c r="BT637" s="81">
        <f t="shared" si="2794"/>
        <v>0</v>
      </c>
      <c r="BU637" s="81">
        <f t="shared" si="2795"/>
        <v>0</v>
      </c>
      <c r="BV637" s="81">
        <f t="shared" si="2796"/>
        <v>0</v>
      </c>
      <c r="BW637" s="81">
        <f t="shared" si="2797"/>
        <v>0</v>
      </c>
      <c r="BX637" s="1"/>
      <c r="BY637" s="1"/>
      <c r="BZ637" s="1"/>
      <c r="CA637" s="1"/>
      <c r="CB637" s="1"/>
      <c r="CC637" s="1"/>
      <c r="CD637" s="1"/>
      <c r="CE637" s="1"/>
      <c r="CF637" s="1"/>
      <c r="CG637" s="1"/>
    </row>
    <row r="638" spans="1:85" ht="15.75" customHeight="1" outlineLevel="1">
      <c r="A638" s="145"/>
      <c r="B638" s="146" t="s">
        <v>977</v>
      </c>
      <c r="C638" s="86" t="s">
        <v>596</v>
      </c>
      <c r="D638" s="292" t="s">
        <v>978</v>
      </c>
      <c r="E638" s="163"/>
      <c r="F638" s="164"/>
      <c r="G638" s="71">
        <f t="shared" si="2781"/>
        <v>0</v>
      </c>
      <c r="H638" s="70"/>
      <c r="I638" s="72">
        <f t="shared" si="2631"/>
        <v>0</v>
      </c>
      <c r="J638" s="72">
        <f t="shared" si="2632"/>
        <v>0</v>
      </c>
      <c r="K638" s="76"/>
      <c r="L638" s="75">
        <v>1161</v>
      </c>
      <c r="M638" s="81"/>
      <c r="N638" s="88"/>
      <c r="O638" s="77">
        <f t="shared" ref="O638:Q638" si="2963">AA638+AD638+AG638+AJ638+AM638+AP638+AS638+AV638+AY638+BB638+BE638+BH638</f>
        <v>0</v>
      </c>
      <c r="P638" s="77">
        <f t="shared" si="2963"/>
        <v>1161</v>
      </c>
      <c r="Q638" s="77">
        <f t="shared" si="2963"/>
        <v>0</v>
      </c>
      <c r="R638" s="77">
        <f t="shared" ref="R638:T638" si="2964">IF(BK638=0,SUM(AA638+AD638+AG638+AJ638+AM638+AP638+AS638+AV638+AY638+BB638+BE638+BH638),BK638)</f>
        <v>0</v>
      </c>
      <c r="S638" s="77">
        <f t="shared" si="2964"/>
        <v>1161</v>
      </c>
      <c r="T638" s="77">
        <f t="shared" si="2964"/>
        <v>0</v>
      </c>
      <c r="U638" s="79">
        <f t="shared" si="2784"/>
        <v>0</v>
      </c>
      <c r="V638" s="79">
        <f t="shared" si="2785"/>
        <v>0</v>
      </c>
      <c r="W638" s="79">
        <f t="shared" si="2786"/>
        <v>0</v>
      </c>
      <c r="X638" s="80">
        <f t="shared" ref="X638:Y638" si="2965">IF(O638&gt;0,O638/K638,0)</f>
        <v>0</v>
      </c>
      <c r="Y638" s="80">
        <f t="shared" si="2965"/>
        <v>1</v>
      </c>
      <c r="Z638" s="80">
        <f t="shared" si="2391"/>
        <v>0</v>
      </c>
      <c r="AA638" s="81"/>
      <c r="AB638" s="81"/>
      <c r="AC638" s="81"/>
      <c r="AD638" s="81"/>
      <c r="AE638" s="83"/>
      <c r="AF638" s="83"/>
      <c r="AG638" s="83"/>
      <c r="AH638" s="83"/>
      <c r="AI638" s="81"/>
      <c r="AJ638" s="81"/>
      <c r="AK638" s="81"/>
      <c r="AL638" s="81"/>
      <c r="AM638" s="81"/>
      <c r="AN638" s="81"/>
      <c r="AO638" s="81"/>
      <c r="AP638" s="81"/>
      <c r="AQ638" s="82">
        <v>1161</v>
      </c>
      <c r="AR638" s="81"/>
      <c r="AS638" s="81"/>
      <c r="AT638" s="81"/>
      <c r="AU638" s="81"/>
      <c r="AV638" s="81"/>
      <c r="AW638" s="81"/>
      <c r="AX638" s="81"/>
      <c r="AY638" s="81"/>
      <c r="AZ638" s="81"/>
      <c r="BA638" s="81"/>
      <c r="BB638" s="81"/>
      <c r="BC638" s="81"/>
      <c r="BD638" s="81"/>
      <c r="BE638" s="81"/>
      <c r="BF638" s="81"/>
      <c r="BG638" s="81"/>
      <c r="BH638" s="81"/>
      <c r="BI638" s="81"/>
      <c r="BJ638" s="81"/>
      <c r="BK638" s="82">
        <v>0</v>
      </c>
      <c r="BL638" s="82">
        <v>1161</v>
      </c>
      <c r="BM638" s="82">
        <v>0</v>
      </c>
      <c r="BN638" s="81">
        <f t="shared" si="2788"/>
        <v>0</v>
      </c>
      <c r="BO638" s="75">
        <f t="shared" si="2789"/>
        <v>0</v>
      </c>
      <c r="BP638" s="81">
        <f t="shared" si="2790"/>
        <v>0</v>
      </c>
      <c r="BQ638" s="81">
        <f t="shared" si="2791"/>
        <v>0</v>
      </c>
      <c r="BR638" s="81">
        <f t="shared" si="2792"/>
        <v>0</v>
      </c>
      <c r="BS638" s="81">
        <f t="shared" si="2793"/>
        <v>0</v>
      </c>
      <c r="BT638" s="81">
        <f t="shared" si="2794"/>
        <v>0</v>
      </c>
      <c r="BU638" s="81">
        <f t="shared" si="2795"/>
        <v>0</v>
      </c>
      <c r="BV638" s="81">
        <f t="shared" si="2796"/>
        <v>0</v>
      </c>
      <c r="BW638" s="81">
        <f t="shared" si="2797"/>
        <v>0</v>
      </c>
      <c r="BX638" s="1"/>
      <c r="BY638" s="1"/>
      <c r="BZ638" s="1"/>
      <c r="CA638" s="1"/>
      <c r="CB638" s="1"/>
      <c r="CC638" s="1"/>
      <c r="CD638" s="1"/>
      <c r="CE638" s="1"/>
      <c r="CF638" s="1"/>
      <c r="CG638" s="1"/>
    </row>
    <row r="639" spans="1:85" ht="15.75" customHeight="1">
      <c r="A639" s="108"/>
      <c r="B639" s="115"/>
      <c r="C639" s="86" t="s">
        <v>219</v>
      </c>
      <c r="D639" s="292" t="s">
        <v>979</v>
      </c>
      <c r="E639" s="163">
        <f>200000+10000</f>
        <v>210000</v>
      </c>
      <c r="F639" s="164"/>
      <c r="G639" s="71">
        <f t="shared" si="2781"/>
        <v>210000</v>
      </c>
      <c r="H639" s="70"/>
      <c r="I639" s="72">
        <f t="shared" si="2631"/>
        <v>0</v>
      </c>
      <c r="J639" s="72">
        <f t="shared" si="2632"/>
        <v>0</v>
      </c>
      <c r="K639" s="76"/>
      <c r="L639" s="75"/>
      <c r="M639" s="81"/>
      <c r="N639" s="88"/>
      <c r="O639" s="77">
        <f t="shared" ref="O639:Q639" si="2966">AA639+AD639+AG639+AJ639+AM639+AP639+AS639+AV639+AY639+BB639+BE639+BH639</f>
        <v>0</v>
      </c>
      <c r="P639" s="77">
        <f t="shared" si="2966"/>
        <v>0</v>
      </c>
      <c r="Q639" s="77">
        <f t="shared" si="2966"/>
        <v>0</v>
      </c>
      <c r="R639" s="77">
        <f t="shared" ref="R639:T639" si="2967">IF(BK639=0,SUM(AA639+AD639+AG639+AJ639+AM639+AP639+AS639+AV639+AY639+BB639+BE639+BH639),BK639)</f>
        <v>0</v>
      </c>
      <c r="S639" s="77">
        <f t="shared" si="2967"/>
        <v>0</v>
      </c>
      <c r="T639" s="77">
        <f t="shared" si="2967"/>
        <v>0</v>
      </c>
      <c r="U639" s="79">
        <f t="shared" si="2784"/>
        <v>0</v>
      </c>
      <c r="V639" s="79">
        <f t="shared" si="2785"/>
        <v>0</v>
      </c>
      <c r="W639" s="79">
        <f t="shared" si="2786"/>
        <v>0</v>
      </c>
      <c r="X639" s="80">
        <f t="shared" ref="X639:Y639" si="2968">IF(O639&gt;0,O639/K639,0)</f>
        <v>0</v>
      </c>
      <c r="Y639" s="80">
        <f t="shared" si="2968"/>
        <v>0</v>
      </c>
      <c r="Z639" s="80">
        <f t="shared" si="2391"/>
        <v>0</v>
      </c>
      <c r="AA639" s="81"/>
      <c r="AB639" s="81"/>
      <c r="AC639" s="81"/>
      <c r="AD639" s="81"/>
      <c r="AE639" s="83"/>
      <c r="AF639" s="83"/>
      <c r="AG639" s="83"/>
      <c r="AH639" s="83"/>
      <c r="AI639" s="81"/>
      <c r="AJ639" s="81"/>
      <c r="AK639" s="81"/>
      <c r="AL639" s="81"/>
      <c r="AM639" s="81"/>
      <c r="AN639" s="81"/>
      <c r="AO639" s="81"/>
      <c r="AP639" s="81"/>
      <c r="AQ639" s="81"/>
      <c r="AR639" s="81"/>
      <c r="AS639" s="81"/>
      <c r="AT639" s="81"/>
      <c r="AU639" s="81"/>
      <c r="AV639" s="81"/>
      <c r="AW639" s="81"/>
      <c r="AX639" s="81"/>
      <c r="AY639" s="81"/>
      <c r="AZ639" s="81"/>
      <c r="BA639" s="81"/>
      <c r="BB639" s="81"/>
      <c r="BC639" s="81"/>
      <c r="BD639" s="81"/>
      <c r="BE639" s="81"/>
      <c r="BF639" s="81"/>
      <c r="BG639" s="81"/>
      <c r="BH639" s="81"/>
      <c r="BI639" s="81"/>
      <c r="BJ639" s="81"/>
      <c r="BK639" s="82">
        <v>0</v>
      </c>
      <c r="BL639" s="82">
        <v>0</v>
      </c>
      <c r="BM639" s="82">
        <v>0</v>
      </c>
      <c r="BN639" s="81">
        <f t="shared" si="2788"/>
        <v>0</v>
      </c>
      <c r="BO639" s="75">
        <f t="shared" si="2789"/>
        <v>0</v>
      </c>
      <c r="BP639" s="81">
        <f t="shared" si="2790"/>
        <v>0</v>
      </c>
      <c r="BQ639" s="81">
        <f t="shared" si="2791"/>
        <v>0</v>
      </c>
      <c r="BR639" s="81">
        <f t="shared" si="2792"/>
        <v>0</v>
      </c>
      <c r="BS639" s="81">
        <f t="shared" si="2793"/>
        <v>0</v>
      </c>
      <c r="BT639" s="81">
        <f t="shared" si="2794"/>
        <v>0</v>
      </c>
      <c r="BU639" s="81">
        <f t="shared" si="2795"/>
        <v>0</v>
      </c>
      <c r="BV639" s="81">
        <f t="shared" si="2796"/>
        <v>0</v>
      </c>
      <c r="BW639" s="81">
        <f t="shared" si="2797"/>
        <v>0</v>
      </c>
      <c r="BX639" s="1"/>
      <c r="BY639" s="1"/>
      <c r="BZ639" s="1"/>
      <c r="CA639" s="1"/>
      <c r="CB639" s="1"/>
      <c r="CC639" s="1"/>
      <c r="CD639" s="1"/>
      <c r="CE639" s="1"/>
      <c r="CF639" s="1"/>
      <c r="CG639" s="1"/>
    </row>
    <row r="640" spans="1:85" ht="15.75" customHeight="1">
      <c r="A640" s="145"/>
      <c r="B640" s="132" t="s">
        <v>980</v>
      </c>
      <c r="C640" s="86" t="s">
        <v>610</v>
      </c>
      <c r="D640" s="292" t="s">
        <v>978</v>
      </c>
      <c r="E640" s="163"/>
      <c r="F640" s="164"/>
      <c r="G640" s="71">
        <f t="shared" si="2781"/>
        <v>0</v>
      </c>
      <c r="H640" s="70"/>
      <c r="I640" s="72">
        <f t="shared" si="2631"/>
        <v>0</v>
      </c>
      <c r="J640" s="72">
        <f t="shared" si="2632"/>
        <v>0</v>
      </c>
      <c r="K640" s="76"/>
      <c r="L640" s="75">
        <v>3610</v>
      </c>
      <c r="M640" s="81"/>
      <c r="N640" s="88"/>
      <c r="O640" s="77">
        <f t="shared" ref="O640:Q640" si="2969">AA640+AD640+AG640+AJ640+AM640+AP640+AS640+AV640+AY640+BB640+BE640+BH640</f>
        <v>0</v>
      </c>
      <c r="P640" s="77">
        <f t="shared" si="2969"/>
        <v>3610</v>
      </c>
      <c r="Q640" s="77">
        <f t="shared" si="2969"/>
        <v>0</v>
      </c>
      <c r="R640" s="77">
        <f t="shared" ref="R640:T640" si="2970">IF(BK640=0,SUM(AA640+AD640+AG640+AJ640+AM640+AP640+AS640+AV640+AY640+BB640+BE640+BH640),BK640)</f>
        <v>0</v>
      </c>
      <c r="S640" s="77">
        <f t="shared" si="2970"/>
        <v>3610</v>
      </c>
      <c r="T640" s="77">
        <f t="shared" si="2970"/>
        <v>0</v>
      </c>
      <c r="U640" s="79">
        <f t="shared" si="2784"/>
        <v>0</v>
      </c>
      <c r="V640" s="79">
        <f t="shared" si="2785"/>
        <v>0</v>
      </c>
      <c r="W640" s="79">
        <f t="shared" si="2786"/>
        <v>0</v>
      </c>
      <c r="X640" s="80">
        <f t="shared" ref="X640:Y640" si="2971">IF(O640&gt;0,O640/K640,0)</f>
        <v>0</v>
      </c>
      <c r="Y640" s="80">
        <f t="shared" si="2971"/>
        <v>1</v>
      </c>
      <c r="Z640" s="80">
        <f t="shared" si="2391"/>
        <v>0</v>
      </c>
      <c r="AA640" s="81"/>
      <c r="AB640" s="82">
        <v>3610</v>
      </c>
      <c r="AC640" s="81"/>
      <c r="AD640" s="81"/>
      <c r="AE640" s="83"/>
      <c r="AF640" s="83"/>
      <c r="AG640" s="83"/>
      <c r="AH640" s="83"/>
      <c r="AI640" s="81"/>
      <c r="AJ640" s="81"/>
      <c r="AK640" s="81"/>
      <c r="AL640" s="81"/>
      <c r="AM640" s="81"/>
      <c r="AN640" s="81"/>
      <c r="AO640" s="81"/>
      <c r="AP640" s="81"/>
      <c r="AQ640" s="81"/>
      <c r="AR640" s="81"/>
      <c r="AS640" s="81"/>
      <c r="AT640" s="81"/>
      <c r="AU640" s="81"/>
      <c r="AV640" s="81"/>
      <c r="AW640" s="81"/>
      <c r="AX640" s="81"/>
      <c r="AY640" s="81"/>
      <c r="AZ640" s="81"/>
      <c r="BA640" s="81"/>
      <c r="BB640" s="81"/>
      <c r="BC640" s="81"/>
      <c r="BD640" s="81"/>
      <c r="BE640" s="81"/>
      <c r="BF640" s="81"/>
      <c r="BG640" s="81"/>
      <c r="BH640" s="81"/>
      <c r="BI640" s="81"/>
      <c r="BJ640" s="81"/>
      <c r="BK640" s="82">
        <v>0</v>
      </c>
      <c r="BL640" s="82">
        <v>3610</v>
      </c>
      <c r="BM640" s="82">
        <v>0</v>
      </c>
      <c r="BN640" s="81">
        <f t="shared" si="2788"/>
        <v>0</v>
      </c>
      <c r="BO640" s="75">
        <f t="shared" si="2789"/>
        <v>0</v>
      </c>
      <c r="BP640" s="81">
        <f t="shared" si="2790"/>
        <v>0</v>
      </c>
      <c r="BQ640" s="81">
        <f t="shared" si="2791"/>
        <v>0</v>
      </c>
      <c r="BR640" s="81">
        <f t="shared" si="2792"/>
        <v>0</v>
      </c>
      <c r="BS640" s="81">
        <f t="shared" si="2793"/>
        <v>0</v>
      </c>
      <c r="BT640" s="81">
        <f t="shared" si="2794"/>
        <v>0</v>
      </c>
      <c r="BU640" s="81">
        <f t="shared" si="2795"/>
        <v>0</v>
      </c>
      <c r="BV640" s="81">
        <f t="shared" si="2796"/>
        <v>0</v>
      </c>
      <c r="BW640" s="81">
        <f t="shared" si="2797"/>
        <v>0</v>
      </c>
      <c r="BX640" s="1"/>
      <c r="BY640" s="1"/>
      <c r="BZ640" s="1"/>
      <c r="CA640" s="1"/>
      <c r="CB640" s="1"/>
      <c r="CC640" s="1"/>
      <c r="CD640" s="1"/>
      <c r="CE640" s="1"/>
      <c r="CF640" s="1"/>
      <c r="CG640" s="1"/>
    </row>
    <row r="641" spans="1:85" ht="15.75" customHeight="1">
      <c r="A641" s="89" t="s">
        <v>981</v>
      </c>
      <c r="B641" s="283"/>
      <c r="C641" s="129" t="s">
        <v>221</v>
      </c>
      <c r="D641" s="135" t="s">
        <v>982</v>
      </c>
      <c r="E641" s="163"/>
      <c r="F641" s="164"/>
      <c r="G641" s="71">
        <f t="shared" si="2781"/>
        <v>0</v>
      </c>
      <c r="H641" s="70"/>
      <c r="I641" s="72">
        <f t="shared" si="2631"/>
        <v>0</v>
      </c>
      <c r="J641" s="72">
        <f t="shared" si="2632"/>
        <v>0</v>
      </c>
      <c r="K641" s="94">
        <v>660.33</v>
      </c>
      <c r="L641" s="75"/>
      <c r="M641" s="81"/>
      <c r="N641" s="88"/>
      <c r="O641" s="77">
        <f t="shared" ref="O641:Q641" si="2972">AA641+AD641+AG641+AJ641+AM641+AP641+AS641+AV641+AY641+BB641+BE641+BH641</f>
        <v>660.33</v>
      </c>
      <c r="P641" s="77">
        <f t="shared" si="2972"/>
        <v>0</v>
      </c>
      <c r="Q641" s="77">
        <f t="shared" si="2972"/>
        <v>0</v>
      </c>
      <c r="R641" s="77">
        <f t="shared" ref="R641:T641" si="2973">IF(BK641=0,SUM(AA641+AD641+AG641+AJ641+AM641+AP641+AS641+AV641+AY641+BB641+BE641+BH641),BK641)</f>
        <v>660.33</v>
      </c>
      <c r="S641" s="77">
        <f t="shared" si="2973"/>
        <v>0</v>
      </c>
      <c r="T641" s="77">
        <f t="shared" si="2973"/>
        <v>0</v>
      </c>
      <c r="U641" s="79">
        <f t="shared" si="2784"/>
        <v>0</v>
      </c>
      <c r="V641" s="79">
        <f t="shared" si="2785"/>
        <v>0</v>
      </c>
      <c r="W641" s="79">
        <f t="shared" si="2786"/>
        <v>0</v>
      </c>
      <c r="X641" s="80">
        <f t="shared" ref="X641:Y641" si="2974">IF(O641&gt;0,O641/K641,0)</f>
        <v>1</v>
      </c>
      <c r="Y641" s="80">
        <f t="shared" si="2974"/>
        <v>0</v>
      </c>
      <c r="Z641" s="80">
        <f t="shared" si="2391"/>
        <v>0</v>
      </c>
      <c r="AA641" s="81"/>
      <c r="AB641" s="81"/>
      <c r="AC641" s="81"/>
      <c r="AD641" s="81"/>
      <c r="AE641" s="83"/>
      <c r="AF641" s="83"/>
      <c r="AG641" s="83"/>
      <c r="AH641" s="83"/>
      <c r="AI641" s="81"/>
      <c r="AJ641" s="81"/>
      <c r="AK641" s="81"/>
      <c r="AL641" s="81"/>
      <c r="AM641" s="81"/>
      <c r="AN641" s="81"/>
      <c r="AO641" s="81"/>
      <c r="AP641" s="81"/>
      <c r="AQ641" s="81"/>
      <c r="AR641" s="81"/>
      <c r="AS641" s="81"/>
      <c r="AT641" s="81"/>
      <c r="AU641" s="81"/>
      <c r="AV641" s="81"/>
      <c r="AW641" s="81"/>
      <c r="AX641" s="81"/>
      <c r="AY641" s="82">
        <v>660.33</v>
      </c>
      <c r="AZ641" s="81"/>
      <c r="BA641" s="81"/>
      <c r="BB641" s="81"/>
      <c r="BC641" s="81"/>
      <c r="BD641" s="81"/>
      <c r="BE641" s="81"/>
      <c r="BF641" s="81"/>
      <c r="BG641" s="81"/>
      <c r="BH641" s="81"/>
      <c r="BI641" s="81"/>
      <c r="BJ641" s="81"/>
      <c r="BK641" s="82">
        <v>660.33</v>
      </c>
      <c r="BL641" s="82">
        <v>0</v>
      </c>
      <c r="BM641" s="82">
        <v>0</v>
      </c>
      <c r="BN641" s="81">
        <f t="shared" si="2788"/>
        <v>0</v>
      </c>
      <c r="BO641" s="75">
        <f t="shared" si="2789"/>
        <v>0</v>
      </c>
      <c r="BP641" s="81">
        <f t="shared" si="2790"/>
        <v>0</v>
      </c>
      <c r="BQ641" s="81">
        <f t="shared" si="2791"/>
        <v>0</v>
      </c>
      <c r="BR641" s="81">
        <f t="shared" si="2792"/>
        <v>0</v>
      </c>
      <c r="BS641" s="81">
        <f t="shared" si="2793"/>
        <v>0</v>
      </c>
      <c r="BT641" s="81">
        <f t="shared" si="2794"/>
        <v>0</v>
      </c>
      <c r="BU641" s="81">
        <f t="shared" si="2795"/>
        <v>0</v>
      </c>
      <c r="BV641" s="81">
        <f t="shared" si="2796"/>
        <v>0</v>
      </c>
      <c r="BW641" s="81">
        <f t="shared" si="2797"/>
        <v>0</v>
      </c>
      <c r="BX641" s="1"/>
      <c r="BY641" s="1"/>
      <c r="BZ641" s="1"/>
      <c r="CA641" s="1"/>
      <c r="CB641" s="1"/>
      <c r="CC641" s="1"/>
      <c r="CD641" s="1"/>
      <c r="CE641" s="1"/>
      <c r="CF641" s="1"/>
      <c r="CG641" s="1"/>
    </row>
    <row r="642" spans="1:85" ht="15.75">
      <c r="A642" s="270"/>
      <c r="B642" s="271"/>
      <c r="C642" s="272"/>
      <c r="D642" s="112" t="s">
        <v>224</v>
      </c>
      <c r="E642" s="286">
        <f t="shared" ref="E642:H642" si="2975">SUM(E643:E647)</f>
        <v>220000</v>
      </c>
      <c r="F642" s="362">
        <f t="shared" si="2975"/>
        <v>0</v>
      </c>
      <c r="G642" s="362">
        <f t="shared" si="2975"/>
        <v>220000</v>
      </c>
      <c r="H642" s="362">
        <f t="shared" si="2975"/>
        <v>0</v>
      </c>
      <c r="I642" s="287">
        <f t="shared" si="2631"/>
        <v>2.0783018636363639</v>
      </c>
      <c r="J642" s="287">
        <f t="shared" si="2632"/>
        <v>2.039819681818182</v>
      </c>
      <c r="K642" s="362">
        <f t="shared" ref="K642:W642" si="2976">SUM(K643:K647)</f>
        <v>457226.41000000003</v>
      </c>
      <c r="L642" s="362">
        <f t="shared" si="2976"/>
        <v>40891.480000000003</v>
      </c>
      <c r="M642" s="362">
        <f t="shared" si="2976"/>
        <v>0</v>
      </c>
      <c r="N642" s="362">
        <f t="shared" si="2976"/>
        <v>0</v>
      </c>
      <c r="O642" s="362">
        <f t="shared" si="2976"/>
        <v>448760.33000000007</v>
      </c>
      <c r="P642" s="362">
        <f t="shared" si="2976"/>
        <v>40891.480000000003</v>
      </c>
      <c r="Q642" s="362">
        <f t="shared" si="2976"/>
        <v>0</v>
      </c>
      <c r="R642" s="362">
        <f t="shared" si="2976"/>
        <v>443546.01</v>
      </c>
      <c r="S642" s="362">
        <f t="shared" si="2976"/>
        <v>40891.480000000003</v>
      </c>
      <c r="T642" s="362">
        <f t="shared" si="2976"/>
        <v>0</v>
      </c>
      <c r="U642" s="362">
        <f t="shared" si="2976"/>
        <v>8466.08</v>
      </c>
      <c r="V642" s="362">
        <f t="shared" si="2976"/>
        <v>0</v>
      </c>
      <c r="W642" s="362">
        <f t="shared" si="2976"/>
        <v>0</v>
      </c>
      <c r="X642" s="288">
        <f t="shared" ref="X642:Y642" si="2977">IF(O642&gt;0,O642/K642,0)</f>
        <v>0.98148383423433494</v>
      </c>
      <c r="Y642" s="288">
        <f t="shared" si="2977"/>
        <v>1</v>
      </c>
      <c r="Z642" s="288">
        <f t="shared" si="2391"/>
        <v>0</v>
      </c>
      <c r="AA642" s="362">
        <f t="shared" ref="AA642:BW642" si="2978">SUM(AA643:AA647)</f>
        <v>0</v>
      </c>
      <c r="AB642" s="362">
        <f t="shared" si="2978"/>
        <v>40891.480000000003</v>
      </c>
      <c r="AC642" s="362">
        <f t="shared" si="2978"/>
        <v>0</v>
      </c>
      <c r="AD642" s="362">
        <f t="shared" si="2978"/>
        <v>0</v>
      </c>
      <c r="AE642" s="362">
        <f t="shared" si="2978"/>
        <v>0</v>
      </c>
      <c r="AF642" s="362">
        <f t="shared" si="2978"/>
        <v>0</v>
      </c>
      <c r="AG642" s="362">
        <f t="shared" si="2978"/>
        <v>34340.93</v>
      </c>
      <c r="AH642" s="362">
        <f t="shared" si="2978"/>
        <v>0</v>
      </c>
      <c r="AI642" s="362">
        <f t="shared" si="2978"/>
        <v>0</v>
      </c>
      <c r="AJ642" s="362">
        <f t="shared" si="2978"/>
        <v>40891.960000000006</v>
      </c>
      <c r="AK642" s="362">
        <f t="shared" si="2978"/>
        <v>0</v>
      </c>
      <c r="AL642" s="362">
        <f t="shared" si="2978"/>
        <v>0</v>
      </c>
      <c r="AM642" s="362">
        <f t="shared" si="2978"/>
        <v>40891.480000000003</v>
      </c>
      <c r="AN642" s="362">
        <f t="shared" si="2978"/>
        <v>0</v>
      </c>
      <c r="AO642" s="362">
        <f t="shared" si="2978"/>
        <v>0</v>
      </c>
      <c r="AP642" s="362">
        <f t="shared" si="2978"/>
        <v>81782.94</v>
      </c>
      <c r="AQ642" s="362">
        <f t="shared" si="2978"/>
        <v>0</v>
      </c>
      <c r="AR642" s="362">
        <f t="shared" si="2978"/>
        <v>0</v>
      </c>
      <c r="AS642" s="362">
        <f t="shared" si="2978"/>
        <v>26645</v>
      </c>
      <c r="AT642" s="362">
        <f t="shared" si="2978"/>
        <v>0</v>
      </c>
      <c r="AU642" s="362">
        <f t="shared" si="2978"/>
        <v>0</v>
      </c>
      <c r="AV642" s="362">
        <f t="shared" si="2978"/>
        <v>55752.49</v>
      </c>
      <c r="AW642" s="362">
        <f t="shared" si="2978"/>
        <v>0</v>
      </c>
      <c r="AX642" s="362">
        <f t="shared" si="2978"/>
        <v>0</v>
      </c>
      <c r="AY642" s="362">
        <f t="shared" si="2978"/>
        <v>57043.06</v>
      </c>
      <c r="AZ642" s="362">
        <f t="shared" si="2978"/>
        <v>0</v>
      </c>
      <c r="BA642" s="362">
        <f t="shared" si="2978"/>
        <v>0</v>
      </c>
      <c r="BB642" s="362">
        <f t="shared" si="2978"/>
        <v>60350.04</v>
      </c>
      <c r="BC642" s="362">
        <f t="shared" si="2978"/>
        <v>0</v>
      </c>
      <c r="BD642" s="362">
        <f t="shared" si="2978"/>
        <v>0</v>
      </c>
      <c r="BE642" s="362">
        <f t="shared" si="2978"/>
        <v>51062.43</v>
      </c>
      <c r="BF642" s="362">
        <f t="shared" si="2978"/>
        <v>0</v>
      </c>
      <c r="BG642" s="362">
        <f t="shared" si="2978"/>
        <v>0</v>
      </c>
      <c r="BH642" s="362">
        <f t="shared" si="2978"/>
        <v>0</v>
      </c>
      <c r="BI642" s="362">
        <f t="shared" si="2978"/>
        <v>0</v>
      </c>
      <c r="BJ642" s="362">
        <f t="shared" si="2978"/>
        <v>0</v>
      </c>
      <c r="BK642" s="362">
        <f t="shared" si="2978"/>
        <v>443546.01</v>
      </c>
      <c r="BL642" s="362">
        <f t="shared" si="2978"/>
        <v>40891.480000000003</v>
      </c>
      <c r="BM642" s="362">
        <f t="shared" si="2978"/>
        <v>0</v>
      </c>
      <c r="BN642" s="362">
        <f t="shared" si="2978"/>
        <v>5214.3200000000215</v>
      </c>
      <c r="BO642" s="362">
        <f t="shared" si="2978"/>
        <v>0</v>
      </c>
      <c r="BP642" s="362">
        <f t="shared" si="2978"/>
        <v>5214.3200000000215</v>
      </c>
      <c r="BQ642" s="362">
        <f t="shared" si="2978"/>
        <v>8466.08</v>
      </c>
      <c r="BR642" s="362">
        <f t="shared" si="2978"/>
        <v>0</v>
      </c>
      <c r="BS642" s="362">
        <f t="shared" si="2978"/>
        <v>8466.08</v>
      </c>
      <c r="BT642" s="362">
        <f t="shared" si="2978"/>
        <v>0</v>
      </c>
      <c r="BU642" s="362">
        <f t="shared" si="2978"/>
        <v>5214.3200000000215</v>
      </c>
      <c r="BV642" s="362">
        <f t="shared" si="2978"/>
        <v>8466.08</v>
      </c>
      <c r="BW642" s="362">
        <f t="shared" si="2978"/>
        <v>13680.400000000021</v>
      </c>
      <c r="BX642" s="1"/>
      <c r="BY642" s="1"/>
      <c r="BZ642" s="1"/>
      <c r="CA642" s="1"/>
      <c r="CB642" s="1"/>
      <c r="CC642" s="1"/>
      <c r="CD642" s="1"/>
      <c r="CE642" s="1"/>
      <c r="CF642" s="1"/>
      <c r="CG642" s="1"/>
    </row>
    <row r="643" spans="1:85" ht="15.75" customHeight="1">
      <c r="A643" s="134" t="s">
        <v>983</v>
      </c>
      <c r="B643" s="132" t="s">
        <v>984</v>
      </c>
      <c r="C643" s="86" t="s">
        <v>225</v>
      </c>
      <c r="D643" s="292" t="s">
        <v>985</v>
      </c>
      <c r="E643" s="70">
        <v>220000</v>
      </c>
      <c r="F643" s="71"/>
      <c r="G643" s="71">
        <f t="shared" ref="G643:G647" si="2979">E643-F643</f>
        <v>220000</v>
      </c>
      <c r="H643" s="196"/>
      <c r="I643" s="72">
        <f t="shared" si="2631"/>
        <v>0.34196768181818182</v>
      </c>
      <c r="J643" s="72">
        <f t="shared" si="2632"/>
        <v>0.34196768181818188</v>
      </c>
      <c r="K643" s="94">
        <f>34340.93+40891.96</f>
        <v>75232.89</v>
      </c>
      <c r="L643" s="75">
        <v>40891.480000000003</v>
      </c>
      <c r="M643" s="81"/>
      <c r="N643" s="88"/>
      <c r="O643" s="77">
        <f t="shared" ref="O643:Q643" si="2980">AA643+AD643+AG643+AJ643+AM643+AP643+AS643+AV643+AY643+BB643+BE643+BH643</f>
        <v>75232.890000000014</v>
      </c>
      <c r="P643" s="77">
        <f t="shared" si="2980"/>
        <v>40891.480000000003</v>
      </c>
      <c r="Q643" s="77">
        <f t="shared" si="2980"/>
        <v>0</v>
      </c>
      <c r="R643" s="77">
        <f t="shared" ref="R643:T643" si="2981">IF(BK643=0,SUM(AA643+AD643+AG643+AJ643+AM643+AP643+AS643+AV643+AY643+BB643+BE643+BH643),BK643)</f>
        <v>75232.89</v>
      </c>
      <c r="S643" s="77">
        <f t="shared" si="2981"/>
        <v>40891.480000000003</v>
      </c>
      <c r="T643" s="77">
        <f t="shared" si="2981"/>
        <v>0</v>
      </c>
      <c r="U643" s="79">
        <f t="shared" ref="U643:U647" si="2982">K643-O643</f>
        <v>0</v>
      </c>
      <c r="V643" s="79">
        <f t="shared" ref="V643:V647" si="2983">L643-M643-S643</f>
        <v>0</v>
      </c>
      <c r="W643" s="79">
        <f t="shared" ref="W643:W647" si="2984">N643-Q643</f>
        <v>0</v>
      </c>
      <c r="X643" s="80">
        <f t="shared" ref="X643:Y643" si="2985">IF(O643&gt;0,O643/K643,0)</f>
        <v>1.0000000000000002</v>
      </c>
      <c r="Y643" s="80">
        <f t="shared" si="2985"/>
        <v>1</v>
      </c>
      <c r="Z643" s="80">
        <f t="shared" si="2391"/>
        <v>0</v>
      </c>
      <c r="AA643" s="81"/>
      <c r="AB643" s="82">
        <v>40891.480000000003</v>
      </c>
      <c r="AC643" s="81"/>
      <c r="AD643" s="81"/>
      <c r="AE643" s="83"/>
      <c r="AF643" s="83"/>
      <c r="AG643" s="128">
        <v>34340.93</v>
      </c>
      <c r="AH643" s="83"/>
      <c r="AI643" s="81"/>
      <c r="AJ643" s="81">
        <f>40891.48+0.48</f>
        <v>40891.960000000006</v>
      </c>
      <c r="AK643" s="81"/>
      <c r="AL643" s="81"/>
      <c r="AM643" s="81"/>
      <c r="AN643" s="81"/>
      <c r="AO643" s="81"/>
      <c r="AP643" s="81"/>
      <c r="AQ643" s="81"/>
      <c r="AR643" s="81"/>
      <c r="AS643" s="81"/>
      <c r="AT643" s="81"/>
      <c r="AU643" s="81"/>
      <c r="AV643" s="81"/>
      <c r="AW643" s="81"/>
      <c r="AX643" s="81"/>
      <c r="AY643" s="81"/>
      <c r="AZ643" s="81"/>
      <c r="BA643" s="81"/>
      <c r="BB643" s="81"/>
      <c r="BC643" s="81"/>
      <c r="BD643" s="81"/>
      <c r="BE643" s="81"/>
      <c r="BF643" s="81"/>
      <c r="BG643" s="81"/>
      <c r="BH643" s="81"/>
      <c r="BI643" s="81"/>
      <c r="BJ643" s="81"/>
      <c r="BK643" s="82">
        <v>75232.89</v>
      </c>
      <c r="BL643" s="82">
        <v>40891.480000000003</v>
      </c>
      <c r="BM643" s="82">
        <v>0</v>
      </c>
      <c r="BN643" s="81">
        <f t="shared" ref="BN643:BN647" si="2986">IF(O643-BK643&gt;0,O643-BK643,0)</f>
        <v>1.4551915228366852E-11</v>
      </c>
      <c r="BO643" s="75">
        <f t="shared" ref="BO643:BO647" si="2987">IF(Q643-BM643&gt;0,Q643-BM643,0)</f>
        <v>0</v>
      </c>
      <c r="BP643" s="81">
        <f t="shared" ref="BP643:BP647" si="2988">IF(BN643+BO643&gt;0,BN643+BO643,0)</f>
        <v>1.4551915228366852E-11</v>
      </c>
      <c r="BQ643" s="81">
        <f t="shared" ref="BQ643:BQ647" si="2989">IF(U643=0,0,U643)</f>
        <v>0</v>
      </c>
      <c r="BR643" s="81">
        <f t="shared" ref="BR643:BR647" si="2990">IF(W643=0,0,W643)</f>
        <v>0</v>
      </c>
      <c r="BS643" s="81">
        <f t="shared" ref="BS643:BS647" si="2991">IF(BQ643+BR643&gt;0,BQ643+BR643,0)</f>
        <v>0</v>
      </c>
      <c r="BT643" s="81">
        <f t="shared" ref="BT643:BT647" si="2992">IF(V643&gt;0,V643,0)</f>
        <v>0</v>
      </c>
      <c r="BU643" s="81">
        <f t="shared" ref="BU643:BU647" si="2993">IF(BP643=0,0,BP643)</f>
        <v>1.4551915228366852E-11</v>
      </c>
      <c r="BV643" s="81">
        <f t="shared" ref="BV643:BV647" si="2994">IF(BS643=0,0,BS643)</f>
        <v>0</v>
      </c>
      <c r="BW643" s="81">
        <f t="shared" ref="BW643:BW647" si="2995">IF(BP643+BT643+BV643&gt;0,BP643+BT643+BV643,0)</f>
        <v>1.4551915228366852E-11</v>
      </c>
      <c r="BX643" s="1"/>
      <c r="BY643" s="1"/>
      <c r="BZ643" s="1"/>
      <c r="CA643" s="1"/>
      <c r="CB643" s="1"/>
      <c r="CC643" s="1"/>
      <c r="CD643" s="1"/>
      <c r="CE643" s="1"/>
      <c r="CF643" s="1"/>
      <c r="CG643" s="1"/>
    </row>
    <row r="644" spans="1:85" ht="15.75" customHeight="1">
      <c r="A644" s="125" t="s">
        <v>986</v>
      </c>
      <c r="B644" s="408"/>
      <c r="C644" s="86" t="s">
        <v>225</v>
      </c>
      <c r="D644" s="135" t="s">
        <v>987</v>
      </c>
      <c r="E644" s="70"/>
      <c r="F644" s="71"/>
      <c r="G644" s="71">
        <f t="shared" si="2979"/>
        <v>0</v>
      </c>
      <c r="H644" s="196"/>
      <c r="I644" s="72">
        <f t="shared" si="2631"/>
        <v>0</v>
      </c>
      <c r="J644" s="72">
        <f t="shared" si="2632"/>
        <v>0</v>
      </c>
      <c r="K644" s="94">
        <v>26645</v>
      </c>
      <c r="L644" s="409"/>
      <c r="M644" s="81"/>
      <c r="N644" s="88"/>
      <c r="O644" s="77">
        <f t="shared" ref="O644:Q644" si="2996">AA644+AD644+AG644+AJ644+AM644+AP644+AS644+AV644+AY644+BB644+BE644+BH644</f>
        <v>26645</v>
      </c>
      <c r="P644" s="77">
        <f t="shared" si="2996"/>
        <v>0</v>
      </c>
      <c r="Q644" s="77">
        <f t="shared" si="2996"/>
        <v>0</v>
      </c>
      <c r="R644" s="77">
        <f t="shared" ref="R644:T644" si="2997">IF(BK644=0,SUM(AA644+AD644+AG644+AJ644+AM644+AP644+AS644+AV644+AY644+BB644+BE644+BH644),BK644)</f>
        <v>26645</v>
      </c>
      <c r="S644" s="77">
        <f t="shared" si="2997"/>
        <v>0</v>
      </c>
      <c r="T644" s="77">
        <f t="shared" si="2997"/>
        <v>0</v>
      </c>
      <c r="U644" s="79">
        <f t="shared" si="2982"/>
        <v>0</v>
      </c>
      <c r="V644" s="79">
        <f t="shared" si="2983"/>
        <v>0</v>
      </c>
      <c r="W644" s="79">
        <f t="shared" si="2984"/>
        <v>0</v>
      </c>
      <c r="X644" s="80">
        <f t="shared" ref="X644:Y644" si="2998">IF(O644&gt;0,O644/K644,0)</f>
        <v>1</v>
      </c>
      <c r="Y644" s="80">
        <f t="shared" si="2998"/>
        <v>0</v>
      </c>
      <c r="Z644" s="80">
        <f t="shared" si="2391"/>
        <v>0</v>
      </c>
      <c r="AA644" s="82"/>
      <c r="AB644" s="81"/>
      <c r="AC644" s="81"/>
      <c r="AD644" s="82"/>
      <c r="AE644" s="83"/>
      <c r="AF644" s="83"/>
      <c r="AG644" s="83"/>
      <c r="AH644" s="83"/>
      <c r="AI644" s="81"/>
      <c r="AJ644" s="81"/>
      <c r="AK644" s="81"/>
      <c r="AL644" s="81"/>
      <c r="AM644" s="81"/>
      <c r="AN644" s="81"/>
      <c r="AO644" s="81"/>
      <c r="AP644" s="81"/>
      <c r="AQ644" s="81"/>
      <c r="AR644" s="81"/>
      <c r="AS644" s="82">
        <v>26645</v>
      </c>
      <c r="AT644" s="81"/>
      <c r="AU644" s="81"/>
      <c r="AV644" s="81"/>
      <c r="AW644" s="81"/>
      <c r="AX644" s="81"/>
      <c r="AY644" s="81"/>
      <c r="AZ644" s="81"/>
      <c r="BA644" s="81"/>
      <c r="BB644" s="81"/>
      <c r="BC644" s="81"/>
      <c r="BD644" s="81"/>
      <c r="BE644" s="81"/>
      <c r="BF644" s="81"/>
      <c r="BG644" s="81"/>
      <c r="BH644" s="81"/>
      <c r="BI644" s="81"/>
      <c r="BJ644" s="81"/>
      <c r="BK644" s="82">
        <v>26645</v>
      </c>
      <c r="BL644" s="82">
        <v>0</v>
      </c>
      <c r="BM644" s="82">
        <v>0</v>
      </c>
      <c r="BN644" s="81">
        <f t="shared" si="2986"/>
        <v>0</v>
      </c>
      <c r="BO644" s="75">
        <f t="shared" si="2987"/>
        <v>0</v>
      </c>
      <c r="BP644" s="81">
        <f t="shared" si="2988"/>
        <v>0</v>
      </c>
      <c r="BQ644" s="81">
        <f t="shared" si="2989"/>
        <v>0</v>
      </c>
      <c r="BR644" s="81">
        <f t="shared" si="2990"/>
        <v>0</v>
      </c>
      <c r="BS644" s="81">
        <f t="shared" si="2991"/>
        <v>0</v>
      </c>
      <c r="BT644" s="81">
        <f t="shared" si="2992"/>
        <v>0</v>
      </c>
      <c r="BU644" s="81">
        <f t="shared" si="2993"/>
        <v>0</v>
      </c>
      <c r="BV644" s="81">
        <f t="shared" si="2994"/>
        <v>0</v>
      </c>
      <c r="BW644" s="81">
        <f t="shared" si="2995"/>
        <v>0</v>
      </c>
      <c r="BX644" s="1"/>
      <c r="BY644" s="1"/>
      <c r="BZ644" s="1"/>
      <c r="CA644" s="1"/>
      <c r="CB644" s="1"/>
      <c r="CC644" s="1"/>
      <c r="CD644" s="1"/>
      <c r="CE644" s="1"/>
      <c r="CF644" s="1"/>
      <c r="CG644" s="1"/>
    </row>
    <row r="645" spans="1:85" ht="15.75" customHeight="1">
      <c r="A645" s="125" t="s">
        <v>988</v>
      </c>
      <c r="B645" s="408"/>
      <c r="C645" s="86" t="s">
        <v>225</v>
      </c>
      <c r="D645" s="410" t="s">
        <v>989</v>
      </c>
      <c r="E645" s="70"/>
      <c r="F645" s="71"/>
      <c r="G645" s="71">
        <f t="shared" si="2979"/>
        <v>0</v>
      </c>
      <c r="H645" s="70"/>
      <c r="I645" s="72">
        <f t="shared" si="2631"/>
        <v>0</v>
      </c>
      <c r="J645" s="72">
        <f t="shared" si="2632"/>
        <v>0</v>
      </c>
      <c r="K645" s="94">
        <f>342258.38-55000-51000-172000-1286-26000-36972.38+569984.12-569984.12+8466.08</f>
        <v>8466.08</v>
      </c>
      <c r="L645" s="409"/>
      <c r="M645" s="81"/>
      <c r="N645" s="88"/>
      <c r="O645" s="77">
        <f t="shared" ref="O645:Q645" si="2999">AA645+AD645+AG645+AJ645+AM645+AP645+AS645+AV645+AY645+BB645+BE645+BH645</f>
        <v>0</v>
      </c>
      <c r="P645" s="77">
        <f t="shared" si="2999"/>
        <v>0</v>
      </c>
      <c r="Q645" s="77">
        <f t="shared" si="2999"/>
        <v>0</v>
      </c>
      <c r="R645" s="77">
        <f t="shared" ref="R645:T645" si="3000">IF(BK645=0,SUM(AA645+AD645+AG645+AJ645+AM645+AP645+AS645+AV645+AY645+BB645+BE645+BH645),BK645)</f>
        <v>0</v>
      </c>
      <c r="S645" s="77">
        <f t="shared" si="3000"/>
        <v>0</v>
      </c>
      <c r="T645" s="77">
        <f t="shared" si="3000"/>
        <v>0</v>
      </c>
      <c r="U645" s="78">
        <f t="shared" si="2982"/>
        <v>8466.08</v>
      </c>
      <c r="V645" s="79">
        <f t="shared" si="2983"/>
        <v>0</v>
      </c>
      <c r="W645" s="79">
        <f t="shared" si="2984"/>
        <v>0</v>
      </c>
      <c r="X645" s="80">
        <f t="shared" ref="X645:Y645" si="3001">IF(O645&gt;0,O645/K645,0)</f>
        <v>0</v>
      </c>
      <c r="Y645" s="80">
        <f t="shared" si="3001"/>
        <v>0</v>
      </c>
      <c r="Z645" s="80">
        <f t="shared" si="2391"/>
        <v>0</v>
      </c>
      <c r="AA645" s="82"/>
      <c r="AB645" s="81"/>
      <c r="AC645" s="81"/>
      <c r="AD645" s="82"/>
      <c r="AE645" s="83"/>
      <c r="AF645" s="83"/>
      <c r="AG645" s="83"/>
      <c r="AH645" s="83"/>
      <c r="AI645" s="81"/>
      <c r="AJ645" s="81"/>
      <c r="AK645" s="81"/>
      <c r="AL645" s="81"/>
      <c r="AM645" s="81"/>
      <c r="AN645" s="81"/>
      <c r="AO645" s="81"/>
      <c r="AP645" s="81"/>
      <c r="AQ645" s="81"/>
      <c r="AR645" s="81"/>
      <c r="AS645" s="81"/>
      <c r="AT645" s="81"/>
      <c r="AU645" s="81"/>
      <c r="AV645" s="81"/>
      <c r="AW645" s="81"/>
      <c r="AX645" s="81"/>
      <c r="AY645" s="81"/>
      <c r="AZ645" s="81"/>
      <c r="BA645" s="81"/>
      <c r="BB645" s="81"/>
      <c r="BC645" s="81"/>
      <c r="BD645" s="81"/>
      <c r="BE645" s="81"/>
      <c r="BF645" s="81"/>
      <c r="BG645" s="81"/>
      <c r="BH645" s="81"/>
      <c r="BI645" s="81"/>
      <c r="BJ645" s="81"/>
      <c r="BK645" s="82">
        <v>0</v>
      </c>
      <c r="BL645" s="82">
        <v>0</v>
      </c>
      <c r="BM645" s="82">
        <v>0</v>
      </c>
      <c r="BN645" s="81">
        <f t="shared" si="2986"/>
        <v>0</v>
      </c>
      <c r="BO645" s="75">
        <f t="shared" si="2987"/>
        <v>0</v>
      </c>
      <c r="BP645" s="81">
        <f t="shared" si="2988"/>
        <v>0</v>
      </c>
      <c r="BQ645" s="81">
        <f t="shared" si="2989"/>
        <v>8466.08</v>
      </c>
      <c r="BR645" s="81">
        <f t="shared" si="2990"/>
        <v>0</v>
      </c>
      <c r="BS645" s="81">
        <f t="shared" si="2991"/>
        <v>8466.08</v>
      </c>
      <c r="BT645" s="81">
        <f t="shared" si="2992"/>
        <v>0</v>
      </c>
      <c r="BU645" s="81">
        <f t="shared" si="2993"/>
        <v>0</v>
      </c>
      <c r="BV645" s="81">
        <f t="shared" si="2994"/>
        <v>8466.08</v>
      </c>
      <c r="BW645" s="81">
        <f t="shared" si="2995"/>
        <v>8466.08</v>
      </c>
      <c r="BX645" s="1"/>
      <c r="BY645" s="1"/>
      <c r="BZ645" s="1"/>
      <c r="CA645" s="1"/>
      <c r="CB645" s="1"/>
      <c r="CC645" s="1"/>
      <c r="CD645" s="1"/>
      <c r="CE645" s="1"/>
      <c r="CF645" s="1"/>
      <c r="CG645" s="1"/>
    </row>
    <row r="646" spans="1:85" ht="15.75" customHeight="1">
      <c r="A646" s="125" t="s">
        <v>990</v>
      </c>
      <c r="B646" s="283"/>
      <c r="C646" s="86" t="s">
        <v>225</v>
      </c>
      <c r="D646" s="135" t="s">
        <v>991</v>
      </c>
      <c r="E646" s="70"/>
      <c r="F646" s="71"/>
      <c r="G646" s="71">
        <f t="shared" si="2979"/>
        <v>0</v>
      </c>
      <c r="H646" s="70"/>
      <c r="I646" s="72">
        <f t="shared" si="2631"/>
        <v>0</v>
      </c>
      <c r="J646" s="72">
        <f t="shared" si="2632"/>
        <v>0</v>
      </c>
      <c r="K646" s="94">
        <f>342258.38-114086.16-3964.2</f>
        <v>224208.02</v>
      </c>
      <c r="L646" s="409"/>
      <c r="M646" s="81"/>
      <c r="N646" s="88"/>
      <c r="O646" s="77">
        <f t="shared" ref="O646:Q646" si="3002">AA646+AD646+AG646+AJ646+AM646+AP646+AS646+AV646+AY646+BB646+BE646+BH646</f>
        <v>224208.02</v>
      </c>
      <c r="P646" s="77">
        <f t="shared" si="3002"/>
        <v>0</v>
      </c>
      <c r="Q646" s="77">
        <f t="shared" si="3002"/>
        <v>0</v>
      </c>
      <c r="R646" s="77">
        <f t="shared" ref="R646:T646" si="3003">IF(BK646=0,SUM(AA646+AD646+AG646+AJ646+AM646+AP646+AS646+AV646+AY646+BB646+BE646+BH646),BK646)</f>
        <v>224208.02</v>
      </c>
      <c r="S646" s="77">
        <f t="shared" si="3003"/>
        <v>0</v>
      </c>
      <c r="T646" s="77">
        <f t="shared" si="3003"/>
        <v>0</v>
      </c>
      <c r="U646" s="78">
        <f t="shared" si="2982"/>
        <v>0</v>
      </c>
      <c r="V646" s="79">
        <f t="shared" si="2983"/>
        <v>0</v>
      </c>
      <c r="W646" s="79">
        <f t="shared" si="2984"/>
        <v>0</v>
      </c>
      <c r="X646" s="80">
        <f t="shared" ref="X646:Y646" si="3004">IF(O646&gt;0,O646/K646,0)</f>
        <v>1</v>
      </c>
      <c r="Y646" s="80">
        <f t="shared" si="3004"/>
        <v>0</v>
      </c>
      <c r="Z646" s="80">
        <f t="shared" si="2391"/>
        <v>0</v>
      </c>
      <c r="AA646" s="82"/>
      <c r="AB646" s="81"/>
      <c r="AC646" s="81"/>
      <c r="AD646" s="82"/>
      <c r="AE646" s="83"/>
      <c r="AF646" s="83"/>
      <c r="AG646" s="83"/>
      <c r="AH646" s="83"/>
      <c r="AI646" s="81"/>
      <c r="AJ646" s="81"/>
      <c r="AK646" s="81"/>
      <c r="AL646" s="81"/>
      <c r="AM646" s="82"/>
      <c r="AN646" s="81"/>
      <c r="AO646" s="81"/>
      <c r="AP646" s="81"/>
      <c r="AQ646" s="81"/>
      <c r="AR646" s="81"/>
      <c r="AS646" s="81"/>
      <c r="AT646" s="81"/>
      <c r="AU646" s="81"/>
      <c r="AV646" s="81">
        <f>55752.49</f>
        <v>55752.49</v>
      </c>
      <c r="AW646" s="81"/>
      <c r="AX646" s="81"/>
      <c r="AY646" s="81">
        <f>57043.06</f>
        <v>57043.06</v>
      </c>
      <c r="AZ646" s="81"/>
      <c r="BA646" s="81"/>
      <c r="BB646" s="81">
        <f>54369.41+5980.63</f>
        <v>60350.04</v>
      </c>
      <c r="BC646" s="81"/>
      <c r="BD646" s="81"/>
      <c r="BE646" s="82">
        <f>-5980.63+57043.06</f>
        <v>51062.43</v>
      </c>
      <c r="BF646" s="81"/>
      <c r="BG646" s="81"/>
      <c r="BH646" s="81"/>
      <c r="BI646" s="81"/>
      <c r="BJ646" s="81"/>
      <c r="BK646" s="82">
        <v>224208.02</v>
      </c>
      <c r="BL646" s="82">
        <v>0</v>
      </c>
      <c r="BM646" s="82">
        <v>0</v>
      </c>
      <c r="BN646" s="81">
        <f t="shared" si="2986"/>
        <v>0</v>
      </c>
      <c r="BO646" s="75">
        <f t="shared" si="2987"/>
        <v>0</v>
      </c>
      <c r="BP646" s="81">
        <f t="shared" si="2988"/>
        <v>0</v>
      </c>
      <c r="BQ646" s="81">
        <f t="shared" si="2989"/>
        <v>0</v>
      </c>
      <c r="BR646" s="81">
        <f t="shared" si="2990"/>
        <v>0</v>
      </c>
      <c r="BS646" s="81">
        <f t="shared" si="2991"/>
        <v>0</v>
      </c>
      <c r="BT646" s="81">
        <f t="shared" si="2992"/>
        <v>0</v>
      </c>
      <c r="BU646" s="81">
        <f t="shared" si="2993"/>
        <v>0</v>
      </c>
      <c r="BV646" s="81">
        <f t="shared" si="2994"/>
        <v>0</v>
      </c>
      <c r="BW646" s="81">
        <f t="shared" si="2995"/>
        <v>0</v>
      </c>
      <c r="BX646" s="1"/>
      <c r="BY646" s="1"/>
      <c r="BZ646" s="1"/>
      <c r="CA646" s="1"/>
      <c r="CB646" s="1"/>
      <c r="CC646" s="1"/>
      <c r="CD646" s="1"/>
      <c r="CE646" s="1"/>
      <c r="CF646" s="1"/>
      <c r="CG646" s="1"/>
    </row>
    <row r="647" spans="1:85" ht="15.75" customHeight="1">
      <c r="A647" s="125" t="s">
        <v>992</v>
      </c>
      <c r="B647" s="283"/>
      <c r="C647" s="86" t="s">
        <v>225</v>
      </c>
      <c r="D647" s="135" t="s">
        <v>993</v>
      </c>
      <c r="E647" s="70"/>
      <c r="F647" s="71"/>
      <c r="G647" s="71">
        <f t="shared" si="2979"/>
        <v>0</v>
      </c>
      <c r="H647" s="70"/>
      <c r="I647" s="72">
        <f t="shared" si="2631"/>
        <v>0</v>
      </c>
      <c r="J647" s="72">
        <f t="shared" si="2632"/>
        <v>0</v>
      </c>
      <c r="K647" s="94">
        <f>81782.94+40891.48</f>
        <v>122674.42000000001</v>
      </c>
      <c r="L647" s="409"/>
      <c r="M647" s="81"/>
      <c r="N647" s="88"/>
      <c r="O647" s="77">
        <f t="shared" ref="O647:Q647" si="3005">AA647+AD647+AG647+AJ647+AM647+AP647+AS647+AV647+AY647+BB647+BE647+BH647</f>
        <v>122674.42000000001</v>
      </c>
      <c r="P647" s="77">
        <f t="shared" si="3005"/>
        <v>0</v>
      </c>
      <c r="Q647" s="77">
        <f t="shared" si="3005"/>
        <v>0</v>
      </c>
      <c r="R647" s="77">
        <f t="shared" ref="R647:T647" si="3006">IF(BK647=0,SUM(AA647+AD647+AG647+AJ647+AM647+AP647+AS647+AV647+AY647+BB647+BE647+BH647),BK647)</f>
        <v>117460.1</v>
      </c>
      <c r="S647" s="77">
        <f t="shared" si="3006"/>
        <v>0</v>
      </c>
      <c r="T647" s="77">
        <f t="shared" si="3006"/>
        <v>0</v>
      </c>
      <c r="U647" s="79">
        <f t="shared" si="2982"/>
        <v>0</v>
      </c>
      <c r="V647" s="79">
        <f t="shared" si="2983"/>
        <v>0</v>
      </c>
      <c r="W647" s="79">
        <f t="shared" si="2984"/>
        <v>0</v>
      </c>
      <c r="X647" s="80">
        <f t="shared" ref="X647:Y647" si="3007">IF(O647&gt;0,O647/K647,0)</f>
        <v>1</v>
      </c>
      <c r="Y647" s="80">
        <f t="shared" si="3007"/>
        <v>0</v>
      </c>
      <c r="Z647" s="80">
        <f t="shared" si="2391"/>
        <v>0</v>
      </c>
      <c r="AA647" s="82"/>
      <c r="AB647" s="81"/>
      <c r="AC647" s="81"/>
      <c r="AD647" s="82"/>
      <c r="AE647" s="83"/>
      <c r="AF647" s="83"/>
      <c r="AG647" s="83"/>
      <c r="AH647" s="83"/>
      <c r="AI647" s="81"/>
      <c r="AJ647" s="81"/>
      <c r="AK647" s="81"/>
      <c r="AL647" s="81"/>
      <c r="AM647" s="82">
        <v>40891.480000000003</v>
      </c>
      <c r="AN647" s="81"/>
      <c r="AO647" s="81"/>
      <c r="AP647" s="81">
        <f>40891.46+40891.48</f>
        <v>81782.94</v>
      </c>
      <c r="AQ647" s="81"/>
      <c r="AR647" s="81"/>
      <c r="AS647" s="81"/>
      <c r="AT647" s="81"/>
      <c r="AU647" s="81"/>
      <c r="AV647" s="81"/>
      <c r="AW647" s="81"/>
      <c r="AX647" s="81"/>
      <c r="AY647" s="81"/>
      <c r="AZ647" s="81"/>
      <c r="BA647" s="81"/>
      <c r="BB647" s="81"/>
      <c r="BC647" s="81"/>
      <c r="BD647" s="81"/>
      <c r="BE647" s="81"/>
      <c r="BF647" s="81"/>
      <c r="BG647" s="81"/>
      <c r="BH647" s="81"/>
      <c r="BI647" s="81"/>
      <c r="BJ647" s="81"/>
      <c r="BK647" s="82">
        <f>122674.42-5214.32</f>
        <v>117460.1</v>
      </c>
      <c r="BL647" s="82">
        <v>0</v>
      </c>
      <c r="BM647" s="82">
        <v>0</v>
      </c>
      <c r="BN647" s="81">
        <f t="shared" si="2986"/>
        <v>5214.320000000007</v>
      </c>
      <c r="BO647" s="75">
        <f t="shared" si="2987"/>
        <v>0</v>
      </c>
      <c r="BP647" s="81">
        <f t="shared" si="2988"/>
        <v>5214.320000000007</v>
      </c>
      <c r="BQ647" s="81">
        <f t="shared" si="2989"/>
        <v>0</v>
      </c>
      <c r="BR647" s="81">
        <f t="shared" si="2990"/>
        <v>0</v>
      </c>
      <c r="BS647" s="81">
        <f t="shared" si="2991"/>
        <v>0</v>
      </c>
      <c r="BT647" s="81">
        <f t="shared" si="2992"/>
        <v>0</v>
      </c>
      <c r="BU647" s="81">
        <f t="shared" si="2993"/>
        <v>5214.320000000007</v>
      </c>
      <c r="BV647" s="81">
        <f t="shared" si="2994"/>
        <v>0</v>
      </c>
      <c r="BW647" s="81">
        <f t="shared" si="2995"/>
        <v>5214.320000000007</v>
      </c>
      <c r="BX647" s="1"/>
      <c r="BY647" s="1"/>
      <c r="BZ647" s="1"/>
      <c r="CA647" s="1"/>
      <c r="CB647" s="1"/>
      <c r="CC647" s="1"/>
      <c r="CD647" s="1"/>
      <c r="CE647" s="1"/>
      <c r="CF647" s="1"/>
      <c r="CG647" s="1"/>
    </row>
    <row r="648" spans="1:85" ht="15.75">
      <c r="A648" s="270"/>
      <c r="B648" s="271"/>
      <c r="C648" s="272"/>
      <c r="D648" s="57" t="s">
        <v>251</v>
      </c>
      <c r="E648" s="286">
        <f t="shared" ref="E648:H648" si="3008">SUM(E649:E654)</f>
        <v>100000</v>
      </c>
      <c r="F648" s="362">
        <f t="shared" si="3008"/>
        <v>0</v>
      </c>
      <c r="G648" s="362">
        <f t="shared" si="3008"/>
        <v>100000</v>
      </c>
      <c r="H648" s="362">
        <f t="shared" si="3008"/>
        <v>0</v>
      </c>
      <c r="I648" s="287">
        <f t="shared" si="2631"/>
        <v>0.79573530000000003</v>
      </c>
      <c r="J648" s="287">
        <f t="shared" si="2632"/>
        <v>0.6177241</v>
      </c>
      <c r="K648" s="362">
        <f t="shared" ref="K648:W648" si="3009">SUM(K649:K654)</f>
        <v>79573.53</v>
      </c>
      <c r="L648" s="362">
        <f t="shared" si="3009"/>
        <v>23461.08</v>
      </c>
      <c r="M648" s="362">
        <f t="shared" si="3009"/>
        <v>8.48</v>
      </c>
      <c r="N648" s="362">
        <f t="shared" si="3009"/>
        <v>0</v>
      </c>
      <c r="O648" s="362">
        <f t="shared" si="3009"/>
        <v>61772.409999999996</v>
      </c>
      <c r="P648" s="362">
        <f t="shared" si="3009"/>
        <v>23452.6</v>
      </c>
      <c r="Q648" s="362">
        <f t="shared" si="3009"/>
        <v>0</v>
      </c>
      <c r="R648" s="362">
        <f t="shared" si="3009"/>
        <v>61772.41</v>
      </c>
      <c r="S648" s="362">
        <f t="shared" si="3009"/>
        <v>23452.6</v>
      </c>
      <c r="T648" s="362">
        <f t="shared" si="3009"/>
        <v>0</v>
      </c>
      <c r="U648" s="362">
        <f t="shared" si="3009"/>
        <v>17801.120000000003</v>
      </c>
      <c r="V648" s="362">
        <f t="shared" si="3009"/>
        <v>0</v>
      </c>
      <c r="W648" s="362">
        <f t="shared" si="3009"/>
        <v>0</v>
      </c>
      <c r="X648" s="288">
        <f t="shared" ref="X648:Y648" si="3010">IF(O648&gt;0,O648/K648,0)</f>
        <v>0.77629344833640024</v>
      </c>
      <c r="Y648" s="288">
        <f t="shared" si="3010"/>
        <v>0.99963855031396665</v>
      </c>
      <c r="Z648" s="288">
        <f t="shared" si="2391"/>
        <v>0</v>
      </c>
      <c r="AA648" s="362">
        <f t="shared" ref="AA648:BW648" si="3011">SUM(AA649:AA654)</f>
        <v>0</v>
      </c>
      <c r="AB648" s="362">
        <f t="shared" si="3011"/>
        <v>0</v>
      </c>
      <c r="AC648" s="362">
        <f t="shared" si="3011"/>
        <v>0</v>
      </c>
      <c r="AD648" s="362">
        <f t="shared" si="3011"/>
        <v>10939.15</v>
      </c>
      <c r="AE648" s="362">
        <f t="shared" si="3011"/>
        <v>3727.6</v>
      </c>
      <c r="AF648" s="362">
        <f t="shared" si="3011"/>
        <v>0</v>
      </c>
      <c r="AG648" s="362">
        <f t="shared" si="3011"/>
        <v>5245.2800000000007</v>
      </c>
      <c r="AH648" s="362">
        <f t="shared" si="3011"/>
        <v>0</v>
      </c>
      <c r="AI648" s="362">
        <f t="shared" si="3011"/>
        <v>0</v>
      </c>
      <c r="AJ648" s="362">
        <f t="shared" si="3011"/>
        <v>1200</v>
      </c>
      <c r="AK648" s="362">
        <f t="shared" si="3011"/>
        <v>0</v>
      </c>
      <c r="AL648" s="362">
        <f t="shared" si="3011"/>
        <v>0</v>
      </c>
      <c r="AM648" s="362">
        <f t="shared" si="3011"/>
        <v>7134.13</v>
      </c>
      <c r="AN648" s="362">
        <f t="shared" si="3011"/>
        <v>0</v>
      </c>
      <c r="AO648" s="362">
        <f t="shared" si="3011"/>
        <v>0</v>
      </c>
      <c r="AP648" s="362">
        <f t="shared" si="3011"/>
        <v>10730.8</v>
      </c>
      <c r="AQ648" s="362">
        <f t="shared" si="3011"/>
        <v>0</v>
      </c>
      <c r="AR648" s="362">
        <f t="shared" si="3011"/>
        <v>0</v>
      </c>
      <c r="AS648" s="362">
        <f t="shared" si="3011"/>
        <v>2495.94</v>
      </c>
      <c r="AT648" s="362">
        <f t="shared" si="3011"/>
        <v>14952.5</v>
      </c>
      <c r="AU648" s="362">
        <f t="shared" si="3011"/>
        <v>0</v>
      </c>
      <c r="AV648" s="362">
        <f t="shared" si="3011"/>
        <v>992</v>
      </c>
      <c r="AW648" s="362">
        <f t="shared" si="3011"/>
        <v>4772.5</v>
      </c>
      <c r="AX648" s="362">
        <f t="shared" si="3011"/>
        <v>0</v>
      </c>
      <c r="AY648" s="362">
        <f t="shared" si="3011"/>
        <v>1100</v>
      </c>
      <c r="AZ648" s="362">
        <f t="shared" si="3011"/>
        <v>0</v>
      </c>
      <c r="BA648" s="362">
        <f t="shared" si="3011"/>
        <v>0</v>
      </c>
      <c r="BB648" s="362">
        <f t="shared" si="3011"/>
        <v>904.65</v>
      </c>
      <c r="BC648" s="362">
        <f t="shared" si="3011"/>
        <v>0</v>
      </c>
      <c r="BD648" s="362">
        <f t="shared" si="3011"/>
        <v>0</v>
      </c>
      <c r="BE648" s="362">
        <f t="shared" si="3011"/>
        <v>5481.78</v>
      </c>
      <c r="BF648" s="362">
        <f t="shared" si="3011"/>
        <v>0</v>
      </c>
      <c r="BG648" s="362">
        <f t="shared" si="3011"/>
        <v>0</v>
      </c>
      <c r="BH648" s="362">
        <f t="shared" si="3011"/>
        <v>15548.68</v>
      </c>
      <c r="BI648" s="362">
        <f t="shared" si="3011"/>
        <v>0</v>
      </c>
      <c r="BJ648" s="362">
        <f t="shared" si="3011"/>
        <v>0</v>
      </c>
      <c r="BK648" s="362">
        <f t="shared" si="3011"/>
        <v>61772.41</v>
      </c>
      <c r="BL648" s="362">
        <f t="shared" si="3011"/>
        <v>23452.6</v>
      </c>
      <c r="BM648" s="362">
        <f t="shared" si="3011"/>
        <v>0</v>
      </c>
      <c r="BN648" s="362">
        <f t="shared" si="3011"/>
        <v>0</v>
      </c>
      <c r="BO648" s="362">
        <f t="shared" si="3011"/>
        <v>0</v>
      </c>
      <c r="BP648" s="362">
        <f t="shared" si="3011"/>
        <v>0</v>
      </c>
      <c r="BQ648" s="362">
        <f t="shared" si="3011"/>
        <v>17801.120000000003</v>
      </c>
      <c r="BR648" s="362">
        <f t="shared" si="3011"/>
        <v>0</v>
      </c>
      <c r="BS648" s="362">
        <f t="shared" si="3011"/>
        <v>17801.120000000003</v>
      </c>
      <c r="BT648" s="362">
        <f t="shared" si="3011"/>
        <v>0</v>
      </c>
      <c r="BU648" s="362">
        <f t="shared" si="3011"/>
        <v>0</v>
      </c>
      <c r="BV648" s="362">
        <f t="shared" si="3011"/>
        <v>17801.120000000003</v>
      </c>
      <c r="BW648" s="362">
        <f t="shared" si="3011"/>
        <v>17801.120000000003</v>
      </c>
      <c r="BX648" s="1"/>
      <c r="BY648" s="1"/>
      <c r="BZ648" s="1"/>
      <c r="CA648" s="1"/>
      <c r="CB648" s="1"/>
      <c r="CC648" s="1"/>
      <c r="CD648" s="1"/>
      <c r="CE648" s="1"/>
      <c r="CF648" s="1"/>
      <c r="CG648" s="1"/>
    </row>
    <row r="649" spans="1:85" ht="15.75" customHeight="1">
      <c r="A649" s="125" t="s">
        <v>994</v>
      </c>
      <c r="B649" s="283"/>
      <c r="C649" s="86" t="s">
        <v>270</v>
      </c>
      <c r="D649" s="292" t="s">
        <v>995</v>
      </c>
      <c r="E649" s="70"/>
      <c r="F649" s="71"/>
      <c r="G649" s="71">
        <f t="shared" ref="G649:G654" si="3012">E649-F649</f>
        <v>0</v>
      </c>
      <c r="H649" s="70"/>
      <c r="I649" s="72">
        <f t="shared" si="2631"/>
        <v>0</v>
      </c>
      <c r="J649" s="72">
        <f t="shared" si="2632"/>
        <v>0</v>
      </c>
      <c r="K649" s="94">
        <v>10939.15</v>
      </c>
      <c r="L649" s="409"/>
      <c r="M649" s="81"/>
      <c r="N649" s="88"/>
      <c r="O649" s="77">
        <f t="shared" ref="O649:Q649" si="3013">AA649+AD649+AG649+AJ649+AM649+AP649+AS649+AV649+AY649+BB649+BE649+BH649</f>
        <v>10939.15</v>
      </c>
      <c r="P649" s="77">
        <f t="shared" si="3013"/>
        <v>0</v>
      </c>
      <c r="Q649" s="77">
        <f t="shared" si="3013"/>
        <v>0</v>
      </c>
      <c r="R649" s="77">
        <f t="shared" ref="R649:T649" si="3014">IF(BK649=0,SUM(AA649+AD649+AG649+AJ649+AM649+AP649+AS649+AV649+AY649+BB649+BE649+BH649),BK649)</f>
        <v>10939.15</v>
      </c>
      <c r="S649" s="77">
        <f t="shared" si="3014"/>
        <v>0</v>
      </c>
      <c r="T649" s="77">
        <f t="shared" si="3014"/>
        <v>0</v>
      </c>
      <c r="U649" s="79">
        <f t="shared" ref="U649:U654" si="3015">K649-O649</f>
        <v>0</v>
      </c>
      <c r="V649" s="79">
        <f t="shared" ref="V649:V654" si="3016">L649-M649-S649</f>
        <v>0</v>
      </c>
      <c r="W649" s="79">
        <f t="shared" ref="W649:W654" si="3017">N649-Q649</f>
        <v>0</v>
      </c>
      <c r="X649" s="80">
        <f t="shared" ref="X649:Y649" si="3018">IF(O649&gt;0,O649/K649,0)</f>
        <v>1</v>
      </c>
      <c r="Y649" s="80">
        <f t="shared" si="3018"/>
        <v>0</v>
      </c>
      <c r="Z649" s="80">
        <f t="shared" si="2391"/>
        <v>0</v>
      </c>
      <c r="AA649" s="82"/>
      <c r="AB649" s="81"/>
      <c r="AC649" s="81"/>
      <c r="AD649" s="82">
        <v>10939.15</v>
      </c>
      <c r="AE649" s="83"/>
      <c r="AF649" s="83"/>
      <c r="AG649" s="83"/>
      <c r="AH649" s="83"/>
      <c r="AI649" s="81"/>
      <c r="AJ649" s="81"/>
      <c r="AK649" s="81"/>
      <c r="AL649" s="81"/>
      <c r="AM649" s="81"/>
      <c r="AN649" s="81"/>
      <c r="AO649" s="81"/>
      <c r="AP649" s="81"/>
      <c r="AQ649" s="81"/>
      <c r="AR649" s="81"/>
      <c r="AS649" s="81"/>
      <c r="AT649" s="81"/>
      <c r="AU649" s="81"/>
      <c r="AV649" s="81"/>
      <c r="AW649" s="81"/>
      <c r="AX649" s="81"/>
      <c r="AY649" s="81"/>
      <c r="AZ649" s="81"/>
      <c r="BA649" s="81"/>
      <c r="BB649" s="81"/>
      <c r="BC649" s="81"/>
      <c r="BD649" s="81"/>
      <c r="BE649" s="81"/>
      <c r="BF649" s="81"/>
      <c r="BG649" s="81"/>
      <c r="BH649" s="81"/>
      <c r="BI649" s="81"/>
      <c r="BJ649" s="81"/>
      <c r="BK649" s="82">
        <v>10939.15</v>
      </c>
      <c r="BL649" s="82">
        <v>0</v>
      </c>
      <c r="BM649" s="82">
        <v>0</v>
      </c>
      <c r="BN649" s="81">
        <f t="shared" ref="BN649:BN654" si="3019">IF(O649-BK649&gt;0,O649-BK649,0)</f>
        <v>0</v>
      </c>
      <c r="BO649" s="75">
        <f t="shared" ref="BO649:BO654" si="3020">IF(Q649-BM649&gt;0,Q649-BM649,0)</f>
        <v>0</v>
      </c>
      <c r="BP649" s="81">
        <f t="shared" ref="BP649:BP654" si="3021">IF(BN649+BO649&gt;0,BN649+BO649,0)</f>
        <v>0</v>
      </c>
      <c r="BQ649" s="81">
        <f t="shared" ref="BQ649:BQ654" si="3022">IF(U649=0,0,U649)</f>
        <v>0</v>
      </c>
      <c r="BR649" s="81">
        <f t="shared" ref="BR649:BR654" si="3023">IF(W649=0,0,W649)</f>
        <v>0</v>
      </c>
      <c r="BS649" s="81">
        <f t="shared" ref="BS649:BS654" si="3024">IF(BQ649+BR649&gt;0,BQ649+BR649,0)</f>
        <v>0</v>
      </c>
      <c r="BT649" s="81">
        <f t="shared" ref="BT649:BT654" si="3025">IF(V649&gt;0,V649,0)</f>
        <v>0</v>
      </c>
      <c r="BU649" s="81">
        <f t="shared" ref="BU649:BU654" si="3026">IF(BP649=0,0,BP649)</f>
        <v>0</v>
      </c>
      <c r="BV649" s="81">
        <f t="shared" ref="BV649:BV654" si="3027">IF(BS649=0,0,BS649)</f>
        <v>0</v>
      </c>
      <c r="BW649" s="81">
        <f t="shared" ref="BW649:BW654" si="3028">IF(BP649+BT649+BV649&gt;0,BP649+BT649+BV649,0)</f>
        <v>0</v>
      </c>
      <c r="BX649" s="1"/>
      <c r="BY649" s="1"/>
      <c r="BZ649" s="1"/>
      <c r="CA649" s="1"/>
      <c r="CB649" s="1"/>
      <c r="CC649" s="1"/>
      <c r="CD649" s="1"/>
      <c r="CE649" s="1"/>
      <c r="CF649" s="1"/>
      <c r="CG649" s="1"/>
    </row>
    <row r="650" spans="1:85" ht="15.75" customHeight="1">
      <c r="A650" s="125" t="s">
        <v>996</v>
      </c>
      <c r="B650" s="115"/>
      <c r="C650" s="86" t="s">
        <v>270</v>
      </c>
      <c r="D650" s="292" t="s">
        <v>997</v>
      </c>
      <c r="E650" s="70">
        <v>25000</v>
      </c>
      <c r="F650" s="71"/>
      <c r="G650" s="71">
        <f t="shared" si="3012"/>
        <v>25000</v>
      </c>
      <c r="H650" s="70"/>
      <c r="I650" s="72">
        <f t="shared" si="2631"/>
        <v>1.5671751999999999</v>
      </c>
      <c r="J650" s="72">
        <f t="shared" si="2632"/>
        <v>1.1322243999999999</v>
      </c>
      <c r="K650" s="94">
        <v>39179.379999999997</v>
      </c>
      <c r="L650" s="75"/>
      <c r="M650" s="81"/>
      <c r="N650" s="88"/>
      <c r="O650" s="77">
        <f t="shared" ref="O650:Q650" si="3029">AA650+AD650+AG650+AJ650+AM650+AP650+AS650+AV650+AY650+BB650+BE650+BH650</f>
        <v>28305.609999999997</v>
      </c>
      <c r="P650" s="77">
        <f t="shared" si="3029"/>
        <v>0</v>
      </c>
      <c r="Q650" s="77">
        <f t="shared" si="3029"/>
        <v>0</v>
      </c>
      <c r="R650" s="77">
        <f t="shared" ref="R650:T650" si="3030">IF(BK650=0,SUM(AA650+AD650+AG650+AJ650+AM650+AP650+AS650+AV650+AY650+BB650+BE650+BH650),BK650)</f>
        <v>28305.61</v>
      </c>
      <c r="S650" s="77">
        <f t="shared" si="3030"/>
        <v>0</v>
      </c>
      <c r="T650" s="77">
        <f t="shared" si="3030"/>
        <v>0</v>
      </c>
      <c r="U650" s="78">
        <f t="shared" si="3015"/>
        <v>10873.77</v>
      </c>
      <c r="V650" s="79">
        <f t="shared" si="3016"/>
        <v>0</v>
      </c>
      <c r="W650" s="79">
        <f t="shared" si="3017"/>
        <v>0</v>
      </c>
      <c r="X650" s="80">
        <f t="shared" ref="X650:Y650" si="3031">IF(O650&gt;0,O650/K650,0)</f>
        <v>0.72246191746781085</v>
      </c>
      <c r="Y650" s="80">
        <f t="shared" si="3031"/>
        <v>0</v>
      </c>
      <c r="Z650" s="80">
        <f t="shared" si="2391"/>
        <v>0</v>
      </c>
      <c r="AA650" s="81"/>
      <c r="AB650" s="81"/>
      <c r="AC650" s="81"/>
      <c r="AD650" s="81"/>
      <c r="AE650" s="83"/>
      <c r="AF650" s="83"/>
      <c r="AG650" s="128">
        <v>4035.28</v>
      </c>
      <c r="AH650" s="83"/>
      <c r="AI650" s="81"/>
      <c r="AJ650" s="81"/>
      <c r="AK650" s="81"/>
      <c r="AL650" s="81"/>
      <c r="AM650" s="82">
        <v>5934.13</v>
      </c>
      <c r="AN650" s="81"/>
      <c r="AO650" s="81"/>
      <c r="AP650" s="81">
        <f>3924.8+5460</f>
        <v>9384.7999999999993</v>
      </c>
      <c r="AQ650" s="81"/>
      <c r="AR650" s="81"/>
      <c r="AS650" s="82">
        <v>1445.94</v>
      </c>
      <c r="AT650" s="81"/>
      <c r="AU650" s="81"/>
      <c r="AV650" s="81"/>
      <c r="AW650" s="81"/>
      <c r="AX650" s="81"/>
      <c r="AY650" s="81"/>
      <c r="AZ650" s="81"/>
      <c r="BA650" s="81"/>
      <c r="BB650" s="81"/>
      <c r="BC650" s="81"/>
      <c r="BD650" s="81"/>
      <c r="BE650" s="81">
        <f>1095.86+2885.92</f>
        <v>3981.7799999999997</v>
      </c>
      <c r="BF650" s="81"/>
      <c r="BG650" s="81"/>
      <c r="BH650" s="81">
        <f>3523.68</f>
        <v>3523.68</v>
      </c>
      <c r="BI650" s="81"/>
      <c r="BJ650" s="81"/>
      <c r="BK650" s="82">
        <v>28305.61</v>
      </c>
      <c r="BL650" s="82">
        <v>0</v>
      </c>
      <c r="BM650" s="82">
        <v>0</v>
      </c>
      <c r="BN650" s="81">
        <f t="shared" si="3019"/>
        <v>0</v>
      </c>
      <c r="BO650" s="75">
        <f t="shared" si="3020"/>
        <v>0</v>
      </c>
      <c r="BP650" s="81">
        <f t="shared" si="3021"/>
        <v>0</v>
      </c>
      <c r="BQ650" s="81">
        <f t="shared" si="3022"/>
        <v>10873.77</v>
      </c>
      <c r="BR650" s="81">
        <f t="shared" si="3023"/>
        <v>0</v>
      </c>
      <c r="BS650" s="81">
        <f t="shared" si="3024"/>
        <v>10873.77</v>
      </c>
      <c r="BT650" s="81">
        <f t="shared" si="3025"/>
        <v>0</v>
      </c>
      <c r="BU650" s="81">
        <f t="shared" si="3026"/>
        <v>0</v>
      </c>
      <c r="BV650" s="81">
        <f t="shared" si="3027"/>
        <v>10873.77</v>
      </c>
      <c r="BW650" s="81">
        <f t="shared" si="3028"/>
        <v>10873.77</v>
      </c>
      <c r="BX650" s="1"/>
      <c r="BY650" s="1"/>
      <c r="BZ650" s="1"/>
      <c r="CA650" s="1"/>
      <c r="CB650" s="1"/>
      <c r="CC650" s="1"/>
      <c r="CD650" s="1"/>
      <c r="CE650" s="1"/>
      <c r="CF650" s="1"/>
      <c r="CG650" s="1"/>
    </row>
    <row r="651" spans="1:85" ht="15.75" customHeight="1">
      <c r="A651" s="84"/>
      <c r="B651" s="115"/>
      <c r="C651" s="86" t="s">
        <v>270</v>
      </c>
      <c r="D651" s="292" t="s">
        <v>998</v>
      </c>
      <c r="E651" s="70">
        <v>10000</v>
      </c>
      <c r="F651" s="71"/>
      <c r="G651" s="71">
        <f t="shared" si="3012"/>
        <v>10000</v>
      </c>
      <c r="H651" s="70"/>
      <c r="I651" s="72">
        <f t="shared" si="2631"/>
        <v>0</v>
      </c>
      <c r="J651" s="72">
        <f t="shared" si="2632"/>
        <v>0</v>
      </c>
      <c r="K651" s="76"/>
      <c r="L651" s="75"/>
      <c r="M651" s="75"/>
      <c r="N651" s="76"/>
      <c r="O651" s="77">
        <f t="shared" ref="O651:Q651" si="3032">AA651+AD651+AG651+AJ651+AM651+AP651+AS651+AV651+AY651+BB651+BE651+BH651</f>
        <v>0</v>
      </c>
      <c r="P651" s="77">
        <f t="shared" si="3032"/>
        <v>0</v>
      </c>
      <c r="Q651" s="77">
        <f t="shared" si="3032"/>
        <v>0</v>
      </c>
      <c r="R651" s="77">
        <f t="shared" ref="R651:T651" si="3033">IF(BK651=0,SUM(AA651+AD651+AG651+AJ651+AM651+AP651+AS651+AV651+AY651+BB651+BE651+BH651),BK651)</f>
        <v>0</v>
      </c>
      <c r="S651" s="77">
        <f t="shared" si="3033"/>
        <v>0</v>
      </c>
      <c r="T651" s="77">
        <f t="shared" si="3033"/>
        <v>0</v>
      </c>
      <c r="U651" s="79">
        <f t="shared" si="3015"/>
        <v>0</v>
      </c>
      <c r="V651" s="79">
        <f t="shared" si="3016"/>
        <v>0</v>
      </c>
      <c r="W651" s="79">
        <f t="shared" si="3017"/>
        <v>0</v>
      </c>
      <c r="X651" s="80">
        <f t="shared" ref="X651:Y651" si="3034">IF(O651&gt;0,O651/K651,0)</f>
        <v>0</v>
      </c>
      <c r="Y651" s="80">
        <f t="shared" si="3034"/>
        <v>0</v>
      </c>
      <c r="Z651" s="80">
        <f t="shared" si="2391"/>
        <v>0</v>
      </c>
      <c r="AA651" s="81"/>
      <c r="AB651" s="81"/>
      <c r="AC651" s="81"/>
      <c r="AD651" s="81"/>
      <c r="AE651" s="83"/>
      <c r="AF651" s="83"/>
      <c r="AG651" s="83"/>
      <c r="AH651" s="83"/>
      <c r="AI651" s="81"/>
      <c r="AJ651" s="81"/>
      <c r="AK651" s="81"/>
      <c r="AL651" s="81"/>
      <c r="AM651" s="81"/>
      <c r="AN651" s="81"/>
      <c r="AO651" s="81"/>
      <c r="AP651" s="81"/>
      <c r="AQ651" s="81"/>
      <c r="AR651" s="81"/>
      <c r="AS651" s="81"/>
      <c r="AT651" s="81"/>
      <c r="AU651" s="81"/>
      <c r="AV651" s="81"/>
      <c r="AW651" s="81"/>
      <c r="AX651" s="81"/>
      <c r="AY651" s="81"/>
      <c r="AZ651" s="81"/>
      <c r="BA651" s="81"/>
      <c r="BB651" s="81"/>
      <c r="BC651" s="81"/>
      <c r="BD651" s="81"/>
      <c r="BE651" s="81"/>
      <c r="BF651" s="81"/>
      <c r="BG651" s="81"/>
      <c r="BH651" s="81"/>
      <c r="BI651" s="81"/>
      <c r="BJ651" s="81"/>
      <c r="BK651" s="82">
        <v>0</v>
      </c>
      <c r="BL651" s="82">
        <v>0</v>
      </c>
      <c r="BM651" s="82">
        <v>0</v>
      </c>
      <c r="BN651" s="81">
        <f t="shared" si="3019"/>
        <v>0</v>
      </c>
      <c r="BO651" s="75">
        <f t="shared" si="3020"/>
        <v>0</v>
      </c>
      <c r="BP651" s="81">
        <f t="shared" si="3021"/>
        <v>0</v>
      </c>
      <c r="BQ651" s="81">
        <f t="shared" si="3022"/>
        <v>0</v>
      </c>
      <c r="BR651" s="81">
        <f t="shared" si="3023"/>
        <v>0</v>
      </c>
      <c r="BS651" s="81">
        <f t="shared" si="3024"/>
        <v>0</v>
      </c>
      <c r="BT651" s="81">
        <f t="shared" si="3025"/>
        <v>0</v>
      </c>
      <c r="BU651" s="81">
        <f t="shared" si="3026"/>
        <v>0</v>
      </c>
      <c r="BV651" s="81">
        <f t="shared" si="3027"/>
        <v>0</v>
      </c>
      <c r="BW651" s="81">
        <f t="shared" si="3028"/>
        <v>0</v>
      </c>
      <c r="BX651" s="1"/>
      <c r="BY651" s="1"/>
      <c r="BZ651" s="1"/>
      <c r="CA651" s="1"/>
      <c r="CB651" s="1"/>
      <c r="CC651" s="1"/>
      <c r="CD651" s="1"/>
      <c r="CE651" s="1"/>
      <c r="CF651" s="1"/>
      <c r="CG651" s="1"/>
    </row>
    <row r="652" spans="1:85" ht="15.75" customHeight="1">
      <c r="A652" s="108"/>
      <c r="B652" s="115"/>
      <c r="C652" s="86" t="s">
        <v>292</v>
      </c>
      <c r="D652" s="149" t="s">
        <v>293</v>
      </c>
      <c r="E652" s="70">
        <v>0</v>
      </c>
      <c r="F652" s="71"/>
      <c r="G652" s="71">
        <f t="shared" si="3012"/>
        <v>0</v>
      </c>
      <c r="H652" s="70"/>
      <c r="I652" s="72">
        <f t="shared" si="2631"/>
        <v>0</v>
      </c>
      <c r="J652" s="72">
        <f t="shared" si="2632"/>
        <v>0</v>
      </c>
      <c r="K652" s="76"/>
      <c r="L652" s="75"/>
      <c r="M652" s="75"/>
      <c r="N652" s="76"/>
      <c r="O652" s="77">
        <f t="shared" ref="O652:Q652" si="3035">AA652+AD652+AG652+AJ652+AM652+AP652+AS652+AV652+AY652+BB652+BE652+BH652</f>
        <v>0</v>
      </c>
      <c r="P652" s="77">
        <f t="shared" si="3035"/>
        <v>0</v>
      </c>
      <c r="Q652" s="77">
        <f t="shared" si="3035"/>
        <v>0</v>
      </c>
      <c r="R652" s="77">
        <f t="shared" ref="R652:T652" si="3036">IF(BK652=0,SUM(AA652+AD652+AG652+AJ652+AM652+AP652+AS652+AV652+AY652+BB652+BE652+BH652),BK652)</f>
        <v>0</v>
      </c>
      <c r="S652" s="77">
        <f t="shared" si="3036"/>
        <v>0</v>
      </c>
      <c r="T652" s="77">
        <f t="shared" si="3036"/>
        <v>0</v>
      </c>
      <c r="U652" s="79">
        <f t="shared" si="3015"/>
        <v>0</v>
      </c>
      <c r="V652" s="79">
        <f t="shared" si="3016"/>
        <v>0</v>
      </c>
      <c r="W652" s="79">
        <f t="shared" si="3017"/>
        <v>0</v>
      </c>
      <c r="X652" s="80">
        <f t="shared" ref="X652:Y652" si="3037">IF(O652&gt;0,O652/K652,0)</f>
        <v>0</v>
      </c>
      <c r="Y652" s="80">
        <f t="shared" si="3037"/>
        <v>0</v>
      </c>
      <c r="Z652" s="80">
        <f t="shared" si="2391"/>
        <v>0</v>
      </c>
      <c r="AA652" s="81"/>
      <c r="AB652" s="81"/>
      <c r="AC652" s="81"/>
      <c r="AD652" s="81"/>
      <c r="AE652" s="83"/>
      <c r="AF652" s="83"/>
      <c r="AG652" s="83"/>
      <c r="AH652" s="83"/>
      <c r="AI652" s="81"/>
      <c r="AJ652" s="81"/>
      <c r="AK652" s="81"/>
      <c r="AL652" s="81"/>
      <c r="AM652" s="81"/>
      <c r="AN652" s="81"/>
      <c r="AO652" s="81"/>
      <c r="AP652" s="81"/>
      <c r="AQ652" s="81"/>
      <c r="AR652" s="81"/>
      <c r="AS652" s="81"/>
      <c r="AT652" s="81"/>
      <c r="AU652" s="81"/>
      <c r="AV652" s="81"/>
      <c r="AW652" s="81"/>
      <c r="AX652" s="81"/>
      <c r="AY652" s="81"/>
      <c r="AZ652" s="81"/>
      <c r="BA652" s="81"/>
      <c r="BB652" s="81"/>
      <c r="BC652" s="81"/>
      <c r="BD652" s="81"/>
      <c r="BE652" s="81"/>
      <c r="BF652" s="81"/>
      <c r="BG652" s="81"/>
      <c r="BH652" s="81"/>
      <c r="BI652" s="81"/>
      <c r="BJ652" s="81"/>
      <c r="BK652" s="82">
        <v>0</v>
      </c>
      <c r="BL652" s="82">
        <v>0</v>
      </c>
      <c r="BM652" s="82">
        <v>0</v>
      </c>
      <c r="BN652" s="81">
        <f t="shared" si="3019"/>
        <v>0</v>
      </c>
      <c r="BO652" s="75">
        <f t="shared" si="3020"/>
        <v>0</v>
      </c>
      <c r="BP652" s="81">
        <f t="shared" si="3021"/>
        <v>0</v>
      </c>
      <c r="BQ652" s="81">
        <f t="shared" si="3022"/>
        <v>0</v>
      </c>
      <c r="BR652" s="81">
        <f t="shared" si="3023"/>
        <v>0</v>
      </c>
      <c r="BS652" s="81">
        <f t="shared" si="3024"/>
        <v>0</v>
      </c>
      <c r="BT652" s="81">
        <f t="shared" si="3025"/>
        <v>0</v>
      </c>
      <c r="BU652" s="81">
        <f t="shared" si="3026"/>
        <v>0</v>
      </c>
      <c r="BV652" s="81">
        <f t="shared" si="3027"/>
        <v>0</v>
      </c>
      <c r="BW652" s="81">
        <f t="shared" si="3028"/>
        <v>0</v>
      </c>
      <c r="BX652" s="1"/>
      <c r="BY652" s="1"/>
      <c r="BZ652" s="1"/>
      <c r="CA652" s="1"/>
      <c r="CB652" s="1"/>
      <c r="CC652" s="1"/>
      <c r="CD652" s="1"/>
      <c r="CE652" s="1"/>
      <c r="CF652" s="1"/>
      <c r="CG652" s="1"/>
    </row>
    <row r="653" spans="1:85" ht="15.75" customHeight="1">
      <c r="A653" s="134" t="s">
        <v>999</v>
      </c>
      <c r="B653" s="142" t="s">
        <v>1000</v>
      </c>
      <c r="C653" s="86" t="s">
        <v>302</v>
      </c>
      <c r="D653" s="126" t="s">
        <v>1001</v>
      </c>
      <c r="E653" s="163">
        <v>40000</v>
      </c>
      <c r="F653" s="411">
        <v>0</v>
      </c>
      <c r="G653" s="71">
        <f t="shared" si="3012"/>
        <v>40000</v>
      </c>
      <c r="H653" s="70"/>
      <c r="I653" s="72">
        <f t="shared" si="2631"/>
        <v>0.21312500000000001</v>
      </c>
      <c r="J653" s="72">
        <f t="shared" si="2632"/>
        <v>0.21312500000000001</v>
      </c>
      <c r="K653" s="76">
        <f>8525</f>
        <v>8525</v>
      </c>
      <c r="L653" s="75">
        <v>19725</v>
      </c>
      <c r="M653" s="75"/>
      <c r="N653" s="76"/>
      <c r="O653" s="77">
        <f t="shared" ref="O653:Q653" si="3038">AA653+AD653+AG653+AJ653+AM653+AP653+AS653+AV653+AY653+BB653+BE653+BH653</f>
        <v>8525</v>
      </c>
      <c r="P653" s="77">
        <f t="shared" si="3038"/>
        <v>19725</v>
      </c>
      <c r="Q653" s="77">
        <f t="shared" si="3038"/>
        <v>0</v>
      </c>
      <c r="R653" s="77">
        <f t="shared" ref="R653:T653" si="3039">IF(BK653=0,SUM(AA653+AD653+AG653+AJ653+AM653+AP653+AS653+AV653+AY653+BB653+BE653+BH653),BK653)</f>
        <v>8525</v>
      </c>
      <c r="S653" s="77">
        <f t="shared" si="3039"/>
        <v>19725</v>
      </c>
      <c r="T653" s="77">
        <f t="shared" si="3039"/>
        <v>0</v>
      </c>
      <c r="U653" s="79">
        <f t="shared" si="3015"/>
        <v>0</v>
      </c>
      <c r="V653" s="79">
        <f t="shared" si="3016"/>
        <v>0</v>
      </c>
      <c r="W653" s="79">
        <f t="shared" si="3017"/>
        <v>0</v>
      </c>
      <c r="X653" s="80">
        <f t="shared" ref="X653:Y653" si="3040">IF(O653&gt;0,O653/K653,0)</f>
        <v>1</v>
      </c>
      <c r="Y653" s="80">
        <f t="shared" si="3040"/>
        <v>1</v>
      </c>
      <c r="Z653" s="80">
        <f t="shared" si="2391"/>
        <v>0</v>
      </c>
      <c r="AA653" s="81"/>
      <c r="AB653" s="81"/>
      <c r="AC653" s="81"/>
      <c r="AD653" s="81"/>
      <c r="AE653" s="83"/>
      <c r="AF653" s="83"/>
      <c r="AG653" s="83"/>
      <c r="AH653" s="83"/>
      <c r="AI653" s="81"/>
      <c r="AJ653" s="81"/>
      <c r="AK653" s="81"/>
      <c r="AL653" s="81"/>
      <c r="AM653" s="81"/>
      <c r="AN653" s="81"/>
      <c r="AO653" s="81"/>
      <c r="AP653" s="81"/>
      <c r="AQ653" s="81"/>
      <c r="AR653" s="81"/>
      <c r="AS653" s="81"/>
      <c r="AT653" s="82">
        <v>14952.5</v>
      </c>
      <c r="AU653" s="81"/>
      <c r="AV653" s="81"/>
      <c r="AW653" s="82">
        <v>4772.5</v>
      </c>
      <c r="AX653" s="81"/>
      <c r="AY653" s="81"/>
      <c r="AZ653" s="81"/>
      <c r="BA653" s="81"/>
      <c r="BB653" s="81"/>
      <c r="BC653" s="81"/>
      <c r="BD653" s="81"/>
      <c r="BE653" s="81"/>
      <c r="BF653" s="81"/>
      <c r="BG653" s="81"/>
      <c r="BH653" s="82">
        <v>8525</v>
      </c>
      <c r="BI653" s="81"/>
      <c r="BJ653" s="81"/>
      <c r="BK653" s="82">
        <v>8525</v>
      </c>
      <c r="BL653" s="82">
        <v>19725</v>
      </c>
      <c r="BM653" s="82">
        <v>0</v>
      </c>
      <c r="BN653" s="81">
        <f t="shared" si="3019"/>
        <v>0</v>
      </c>
      <c r="BO653" s="75">
        <f t="shared" si="3020"/>
        <v>0</v>
      </c>
      <c r="BP653" s="81">
        <f t="shared" si="3021"/>
        <v>0</v>
      </c>
      <c r="BQ653" s="81">
        <f t="shared" si="3022"/>
        <v>0</v>
      </c>
      <c r="BR653" s="81">
        <f t="shared" si="3023"/>
        <v>0</v>
      </c>
      <c r="BS653" s="81">
        <f t="shared" si="3024"/>
        <v>0</v>
      </c>
      <c r="BT653" s="81">
        <f t="shared" si="3025"/>
        <v>0</v>
      </c>
      <c r="BU653" s="81">
        <f t="shared" si="3026"/>
        <v>0</v>
      </c>
      <c r="BV653" s="81">
        <f t="shared" si="3027"/>
        <v>0</v>
      </c>
      <c r="BW653" s="81">
        <f t="shared" si="3028"/>
        <v>0</v>
      </c>
      <c r="BX653" s="1"/>
      <c r="BY653" s="1"/>
      <c r="BZ653" s="1"/>
      <c r="CA653" s="1"/>
      <c r="CB653" s="1"/>
      <c r="CC653" s="1"/>
      <c r="CD653" s="1"/>
      <c r="CE653" s="1"/>
      <c r="CF653" s="1"/>
      <c r="CG653" s="1"/>
    </row>
    <row r="654" spans="1:85" ht="15.75" customHeight="1">
      <c r="A654" s="214" t="s">
        <v>1002</v>
      </c>
      <c r="B654" s="132" t="s">
        <v>1003</v>
      </c>
      <c r="C654" s="86" t="s">
        <v>270</v>
      </c>
      <c r="D654" s="167" t="s">
        <v>1004</v>
      </c>
      <c r="E654" s="163">
        <v>25000</v>
      </c>
      <c r="F654" s="164"/>
      <c r="G654" s="71">
        <f t="shared" si="3012"/>
        <v>25000</v>
      </c>
      <c r="H654" s="70"/>
      <c r="I654" s="72">
        <f t="shared" si="2631"/>
        <v>0.83720000000000006</v>
      </c>
      <c r="J654" s="72">
        <f t="shared" si="2632"/>
        <v>0.56010599999999999</v>
      </c>
      <c r="K654" s="94">
        <f>41000-20070</f>
        <v>20930</v>
      </c>
      <c r="L654" s="75">
        <v>3736.08</v>
      </c>
      <c r="M654" s="82">
        <v>8.48</v>
      </c>
      <c r="N654" s="88"/>
      <c r="O654" s="77">
        <f t="shared" ref="O654:Q654" si="3041">AA654+AD654+AG654+AJ654+AM654+AP654+AS654+AV654+AY654+BB654+BE654+BH654</f>
        <v>14002.65</v>
      </c>
      <c r="P654" s="77">
        <f t="shared" si="3041"/>
        <v>3727.6</v>
      </c>
      <c r="Q654" s="77">
        <f t="shared" si="3041"/>
        <v>0</v>
      </c>
      <c r="R654" s="77">
        <f t="shared" ref="R654:T654" si="3042">IF(BK654=0,SUM(AA654+AD654+AG654+AJ654+AM654+AP654+AS654+AV654+AY654+BB654+BE654+BH654),BK654)</f>
        <v>14002.65</v>
      </c>
      <c r="S654" s="77">
        <f t="shared" si="3042"/>
        <v>3727.6</v>
      </c>
      <c r="T654" s="77">
        <f t="shared" si="3042"/>
        <v>0</v>
      </c>
      <c r="U654" s="78">
        <f t="shared" si="3015"/>
        <v>6927.35</v>
      </c>
      <c r="V654" s="79">
        <f t="shared" si="3016"/>
        <v>0</v>
      </c>
      <c r="W654" s="79">
        <f t="shared" si="3017"/>
        <v>0</v>
      </c>
      <c r="X654" s="80">
        <f t="shared" ref="X654:Y654" si="3043">IF(O654&gt;0,O654/K654,0)</f>
        <v>0.66902293358815101</v>
      </c>
      <c r="Y654" s="80">
        <f t="shared" si="3043"/>
        <v>0.99773024132245558</v>
      </c>
      <c r="Z654" s="80">
        <f t="shared" si="2391"/>
        <v>0</v>
      </c>
      <c r="AA654" s="81"/>
      <c r="AB654" s="81"/>
      <c r="AC654" s="81"/>
      <c r="AD654" s="81"/>
      <c r="AE654" s="83">
        <f>3202.6+525</f>
        <v>3727.6</v>
      </c>
      <c r="AF654" s="83"/>
      <c r="AG654" s="128">
        <v>1210</v>
      </c>
      <c r="AH654" s="83"/>
      <c r="AI654" s="81"/>
      <c r="AJ654" s="82">
        <v>1200</v>
      </c>
      <c r="AK654" s="81"/>
      <c r="AL654" s="81"/>
      <c r="AM654" s="82">
        <v>1200</v>
      </c>
      <c r="AN654" s="81"/>
      <c r="AO654" s="81"/>
      <c r="AP654" s="82">
        <v>1346</v>
      </c>
      <c r="AQ654" s="81"/>
      <c r="AR654" s="81"/>
      <c r="AS654" s="82">
        <v>1050</v>
      </c>
      <c r="AT654" s="81"/>
      <c r="AU654" s="81"/>
      <c r="AV654" s="82">
        <v>992</v>
      </c>
      <c r="AW654" s="81"/>
      <c r="AX654" s="81"/>
      <c r="AY654" s="81">
        <f>1100</f>
        <v>1100</v>
      </c>
      <c r="AZ654" s="81"/>
      <c r="BA654" s="81"/>
      <c r="BB654" s="81">
        <f>904.65</f>
        <v>904.65</v>
      </c>
      <c r="BC654" s="81"/>
      <c r="BD654" s="81"/>
      <c r="BE654" s="81">
        <f>1500</f>
        <v>1500</v>
      </c>
      <c r="BF654" s="81"/>
      <c r="BG654" s="81"/>
      <c r="BH654" s="81">
        <f>3500</f>
        <v>3500</v>
      </c>
      <c r="BI654" s="81"/>
      <c r="BJ654" s="81"/>
      <c r="BK654" s="82">
        <v>14002.65</v>
      </c>
      <c r="BL654" s="82">
        <v>3727.6</v>
      </c>
      <c r="BM654" s="82">
        <v>0</v>
      </c>
      <c r="BN654" s="81">
        <f t="shared" si="3019"/>
        <v>0</v>
      </c>
      <c r="BO654" s="75">
        <f t="shared" si="3020"/>
        <v>0</v>
      </c>
      <c r="BP654" s="81">
        <f t="shared" si="3021"/>
        <v>0</v>
      </c>
      <c r="BQ654" s="81">
        <f t="shared" si="3022"/>
        <v>6927.35</v>
      </c>
      <c r="BR654" s="81">
        <f t="shared" si="3023"/>
        <v>0</v>
      </c>
      <c r="BS654" s="81">
        <f t="shared" si="3024"/>
        <v>6927.35</v>
      </c>
      <c r="BT654" s="81">
        <f t="shared" si="3025"/>
        <v>0</v>
      </c>
      <c r="BU654" s="81">
        <f t="shared" si="3026"/>
        <v>0</v>
      </c>
      <c r="BV654" s="81">
        <f t="shared" si="3027"/>
        <v>6927.35</v>
      </c>
      <c r="BW654" s="81">
        <f t="shared" si="3028"/>
        <v>6927.35</v>
      </c>
      <c r="BX654" s="216"/>
      <c r="BY654" s="216"/>
      <c r="BZ654" s="216"/>
      <c r="CA654" s="216"/>
      <c r="CB654" s="216"/>
      <c r="CC654" s="216"/>
      <c r="CD654" s="216"/>
      <c r="CE654" s="216"/>
      <c r="CF654" s="216"/>
      <c r="CG654" s="216"/>
    </row>
    <row r="655" spans="1:85" ht="15.75">
      <c r="A655" s="270"/>
      <c r="B655" s="271"/>
      <c r="C655" s="272"/>
      <c r="D655" s="112" t="s">
        <v>357</v>
      </c>
      <c r="E655" s="286">
        <f t="shared" ref="E655:H655" si="3044">SUM(E656)</f>
        <v>0</v>
      </c>
      <c r="F655" s="362">
        <f t="shared" si="3044"/>
        <v>0</v>
      </c>
      <c r="G655" s="362">
        <f t="shared" si="3044"/>
        <v>0</v>
      </c>
      <c r="H655" s="362">
        <f t="shared" si="3044"/>
        <v>0</v>
      </c>
      <c r="I655" s="287">
        <f t="shared" si="2631"/>
        <v>0</v>
      </c>
      <c r="J655" s="287">
        <f t="shared" si="2632"/>
        <v>0</v>
      </c>
      <c r="K655" s="362">
        <f t="shared" ref="K655:W655" si="3045">SUM(K656)</f>
        <v>9489.3100000000013</v>
      </c>
      <c r="L655" s="362">
        <f t="shared" si="3045"/>
        <v>0</v>
      </c>
      <c r="M655" s="362">
        <f t="shared" si="3045"/>
        <v>0</v>
      </c>
      <c r="N655" s="362">
        <f t="shared" si="3045"/>
        <v>0</v>
      </c>
      <c r="O655" s="362">
        <f t="shared" si="3045"/>
        <v>9489.31</v>
      </c>
      <c r="P655" s="362">
        <f t="shared" si="3045"/>
        <v>0</v>
      </c>
      <c r="Q655" s="362">
        <f t="shared" si="3045"/>
        <v>0</v>
      </c>
      <c r="R655" s="362">
        <f t="shared" si="3045"/>
        <v>9489.31</v>
      </c>
      <c r="S655" s="362">
        <f t="shared" si="3045"/>
        <v>0</v>
      </c>
      <c r="T655" s="362">
        <f t="shared" si="3045"/>
        <v>0</v>
      </c>
      <c r="U655" s="362">
        <f t="shared" si="3045"/>
        <v>0</v>
      </c>
      <c r="V655" s="362">
        <f t="shared" si="3045"/>
        <v>0</v>
      </c>
      <c r="W655" s="362">
        <f t="shared" si="3045"/>
        <v>0</v>
      </c>
      <c r="X655" s="288">
        <f t="shared" ref="X655:Y655" si="3046">IF(O655&gt;0,O655/K655,0)</f>
        <v>0.99999999999999978</v>
      </c>
      <c r="Y655" s="288">
        <f t="shared" si="3046"/>
        <v>0</v>
      </c>
      <c r="Z655" s="288">
        <f t="shared" si="2391"/>
        <v>0</v>
      </c>
      <c r="AA655" s="362">
        <f t="shared" ref="AA655:BW655" si="3047">SUM(AA656)</f>
        <v>0</v>
      </c>
      <c r="AB655" s="362">
        <f t="shared" si="3047"/>
        <v>0</v>
      </c>
      <c r="AC655" s="362">
        <f t="shared" si="3047"/>
        <v>0</v>
      </c>
      <c r="AD655" s="362">
        <f t="shared" si="3047"/>
        <v>340</v>
      </c>
      <c r="AE655" s="362">
        <f t="shared" si="3047"/>
        <v>0</v>
      </c>
      <c r="AF655" s="362">
        <f t="shared" si="3047"/>
        <v>0</v>
      </c>
      <c r="AG655" s="362">
        <f t="shared" si="3047"/>
        <v>48.45</v>
      </c>
      <c r="AH655" s="362">
        <f t="shared" si="3047"/>
        <v>0</v>
      </c>
      <c r="AI655" s="362">
        <f t="shared" si="3047"/>
        <v>0</v>
      </c>
      <c r="AJ655" s="362">
        <f t="shared" si="3047"/>
        <v>1047.5</v>
      </c>
      <c r="AK655" s="362">
        <f t="shared" si="3047"/>
        <v>0</v>
      </c>
      <c r="AL655" s="362">
        <f t="shared" si="3047"/>
        <v>0</v>
      </c>
      <c r="AM655" s="362">
        <f t="shared" si="3047"/>
        <v>1486.2</v>
      </c>
      <c r="AN655" s="362">
        <f t="shared" si="3047"/>
        <v>0</v>
      </c>
      <c r="AO655" s="362">
        <f t="shared" si="3047"/>
        <v>0</v>
      </c>
      <c r="AP655" s="362">
        <f t="shared" si="3047"/>
        <v>986.44</v>
      </c>
      <c r="AQ655" s="362">
        <f t="shared" si="3047"/>
        <v>0</v>
      </c>
      <c r="AR655" s="362">
        <f t="shared" si="3047"/>
        <v>0</v>
      </c>
      <c r="AS655" s="362">
        <f t="shared" si="3047"/>
        <v>1662.4</v>
      </c>
      <c r="AT655" s="362">
        <f t="shared" si="3047"/>
        <v>0</v>
      </c>
      <c r="AU655" s="362">
        <f t="shared" si="3047"/>
        <v>0</v>
      </c>
      <c r="AV655" s="362">
        <f t="shared" si="3047"/>
        <v>366.7</v>
      </c>
      <c r="AW655" s="362">
        <f t="shared" si="3047"/>
        <v>0</v>
      </c>
      <c r="AX655" s="362">
        <f t="shared" si="3047"/>
        <v>0</v>
      </c>
      <c r="AY655" s="362">
        <f t="shared" si="3047"/>
        <v>362.52</v>
      </c>
      <c r="AZ655" s="362">
        <f t="shared" si="3047"/>
        <v>0</v>
      </c>
      <c r="BA655" s="362">
        <f t="shared" si="3047"/>
        <v>0</v>
      </c>
      <c r="BB655" s="362">
        <f t="shared" si="3047"/>
        <v>547.1</v>
      </c>
      <c r="BC655" s="362">
        <f t="shared" si="3047"/>
        <v>0</v>
      </c>
      <c r="BD655" s="362">
        <f t="shared" si="3047"/>
        <v>0</v>
      </c>
      <c r="BE655" s="362">
        <f t="shared" si="3047"/>
        <v>2642</v>
      </c>
      <c r="BF655" s="362">
        <f t="shared" si="3047"/>
        <v>0</v>
      </c>
      <c r="BG655" s="362">
        <f t="shared" si="3047"/>
        <v>0</v>
      </c>
      <c r="BH655" s="362">
        <f t="shared" si="3047"/>
        <v>0</v>
      </c>
      <c r="BI655" s="362">
        <f t="shared" si="3047"/>
        <v>0</v>
      </c>
      <c r="BJ655" s="362">
        <f t="shared" si="3047"/>
        <v>0</v>
      </c>
      <c r="BK655" s="362">
        <f t="shared" si="3047"/>
        <v>9489.31</v>
      </c>
      <c r="BL655" s="362">
        <f t="shared" si="3047"/>
        <v>0</v>
      </c>
      <c r="BM655" s="362">
        <f t="shared" si="3047"/>
        <v>0</v>
      </c>
      <c r="BN655" s="362">
        <f t="shared" si="3047"/>
        <v>0</v>
      </c>
      <c r="BO655" s="362">
        <f t="shared" si="3047"/>
        <v>0</v>
      </c>
      <c r="BP655" s="362">
        <f t="shared" si="3047"/>
        <v>0</v>
      </c>
      <c r="BQ655" s="362">
        <f t="shared" si="3047"/>
        <v>0</v>
      </c>
      <c r="BR655" s="362">
        <f t="shared" si="3047"/>
        <v>0</v>
      </c>
      <c r="BS655" s="362">
        <f t="shared" si="3047"/>
        <v>0</v>
      </c>
      <c r="BT655" s="362">
        <f t="shared" si="3047"/>
        <v>0</v>
      </c>
      <c r="BU655" s="362">
        <f t="shared" si="3047"/>
        <v>0</v>
      </c>
      <c r="BV655" s="362">
        <f t="shared" si="3047"/>
        <v>0</v>
      </c>
      <c r="BW655" s="362">
        <f t="shared" si="3047"/>
        <v>0</v>
      </c>
      <c r="BX655" s="1"/>
      <c r="BY655" s="1"/>
      <c r="BZ655" s="1"/>
      <c r="CA655" s="1"/>
      <c r="CB655" s="1"/>
      <c r="CC655" s="1"/>
      <c r="CD655" s="1"/>
      <c r="CE655" s="1"/>
      <c r="CF655" s="1"/>
      <c r="CG655" s="1"/>
    </row>
    <row r="656" spans="1:85" ht="15.75" customHeight="1">
      <c r="A656" s="125" t="s">
        <v>1005</v>
      </c>
      <c r="B656" s="349"/>
      <c r="C656" s="86" t="s">
        <v>359</v>
      </c>
      <c r="D656" s="317" t="s">
        <v>1006</v>
      </c>
      <c r="E656" s="163"/>
      <c r="F656" s="163"/>
      <c r="G656" s="70">
        <f>E656-F656</f>
        <v>0</v>
      </c>
      <c r="H656" s="70"/>
      <c r="I656" s="187">
        <f t="shared" si="2631"/>
        <v>0</v>
      </c>
      <c r="J656" s="187">
        <f t="shared" si="2632"/>
        <v>0</v>
      </c>
      <c r="K656" s="94">
        <f>3000+3000+1000+285.31+2010+194</f>
        <v>9489.3100000000013</v>
      </c>
      <c r="L656" s="76"/>
      <c r="M656" s="88"/>
      <c r="N656" s="88"/>
      <c r="O656" s="79">
        <f t="shared" ref="O656:Q656" si="3048">AA656+AD656+AG656+AJ656+AM656+AP656+AS656+AV656+AY656+BB656+BE656+BH656</f>
        <v>9489.31</v>
      </c>
      <c r="P656" s="79">
        <f t="shared" si="3048"/>
        <v>0</v>
      </c>
      <c r="Q656" s="79">
        <f t="shared" si="3048"/>
        <v>0</v>
      </c>
      <c r="R656" s="79">
        <f t="shared" ref="R656:T656" si="3049">IF(BK656=0,SUM(AA656+AD656+AG656+AJ656+AM656+AP656+AS656+AV656+AY656+BB656+BE656+BH656),BK656)</f>
        <v>9489.31</v>
      </c>
      <c r="S656" s="79">
        <f t="shared" si="3049"/>
        <v>0</v>
      </c>
      <c r="T656" s="79">
        <f t="shared" si="3049"/>
        <v>0</v>
      </c>
      <c r="U656" s="78">
        <f>K656-O656</f>
        <v>0</v>
      </c>
      <c r="V656" s="79">
        <f>L656-M656-S656</f>
        <v>0</v>
      </c>
      <c r="W656" s="79">
        <f>N656-Q656</f>
        <v>0</v>
      </c>
      <c r="X656" s="188">
        <f t="shared" ref="X656:Y656" si="3050">IF(O656&gt;0,O656/K656,0)</f>
        <v>0.99999999999999978</v>
      </c>
      <c r="Y656" s="188">
        <f t="shared" si="3050"/>
        <v>0</v>
      </c>
      <c r="Z656" s="188">
        <f t="shared" si="2391"/>
        <v>0</v>
      </c>
      <c r="AA656" s="88"/>
      <c r="AB656" s="88"/>
      <c r="AC656" s="88"/>
      <c r="AD656" s="73">
        <v>340</v>
      </c>
      <c r="AE656" s="189"/>
      <c r="AF656" s="189"/>
      <c r="AG656" s="245">
        <v>48.45</v>
      </c>
      <c r="AH656" s="189"/>
      <c r="AI656" s="88"/>
      <c r="AJ656" s="88">
        <f>167.5+880</f>
        <v>1047.5</v>
      </c>
      <c r="AK656" s="88"/>
      <c r="AL656" s="88"/>
      <c r="AM656" s="88">
        <f>805.5+680.7</f>
        <v>1486.2</v>
      </c>
      <c r="AN656" s="88"/>
      <c r="AO656" s="88"/>
      <c r="AP656" s="73">
        <v>986.44</v>
      </c>
      <c r="AQ656" s="88"/>
      <c r="AR656" s="88"/>
      <c r="AS656" s="88">
        <f>649.74+349.95+213.68+449.03</f>
        <v>1662.4</v>
      </c>
      <c r="AT656" s="88"/>
      <c r="AU656" s="88"/>
      <c r="AV656" s="88">
        <f>120.7+246</f>
        <v>366.7</v>
      </c>
      <c r="AW656" s="88"/>
      <c r="AX656" s="88"/>
      <c r="AY656" s="88">
        <f>-123.98+486.5</f>
        <v>362.52</v>
      </c>
      <c r="AZ656" s="88"/>
      <c r="BA656" s="88"/>
      <c r="BB656" s="88">
        <f>547.1</f>
        <v>547.1</v>
      </c>
      <c r="BC656" s="88"/>
      <c r="BD656" s="88"/>
      <c r="BE656" s="88">
        <f>270+168+2010+194</f>
        <v>2642</v>
      </c>
      <c r="BF656" s="88"/>
      <c r="BG656" s="88"/>
      <c r="BH656" s="88"/>
      <c r="BI656" s="88"/>
      <c r="BJ656" s="88"/>
      <c r="BK656" s="82">
        <v>9489.31</v>
      </c>
      <c r="BL656" s="82">
        <v>0</v>
      </c>
      <c r="BM656" s="82">
        <v>0</v>
      </c>
      <c r="BN656" s="81">
        <f>IF(O656-BK656&gt;0,O656-BK656,0)</f>
        <v>0</v>
      </c>
      <c r="BO656" s="75">
        <f>IF(Q656-BM656&gt;0,Q656-BM656,0)</f>
        <v>0</v>
      </c>
      <c r="BP656" s="81">
        <f>IF(BN656+BO656&gt;0,BN656+BO656,0)</f>
        <v>0</v>
      </c>
      <c r="BQ656" s="81">
        <f>IF(U656=0,0,U656)</f>
        <v>0</v>
      </c>
      <c r="BR656" s="81">
        <f>IF(W656=0,0,W656)</f>
        <v>0</v>
      </c>
      <c r="BS656" s="81">
        <f>IF(BQ656+BR656&gt;0,BQ656+BR656,0)</f>
        <v>0</v>
      </c>
      <c r="BT656" s="81">
        <f>IF(V656&gt;0,V656,0)</f>
        <v>0</v>
      </c>
      <c r="BU656" s="81">
        <f>IF(BP656=0,0,BP656)</f>
        <v>0</v>
      </c>
      <c r="BV656" s="81">
        <f>IF(BS656=0,0,BS656)</f>
        <v>0</v>
      </c>
      <c r="BW656" s="81">
        <f>IF(BP656+BT656+BV656&gt;0,BP656+BT656+BV656,0)</f>
        <v>0</v>
      </c>
      <c r="BX656" s="190"/>
      <c r="BY656" s="190"/>
      <c r="BZ656" s="190"/>
      <c r="CA656" s="190"/>
      <c r="CB656" s="190"/>
      <c r="CC656" s="190"/>
      <c r="CD656" s="190"/>
      <c r="CE656" s="190"/>
      <c r="CF656" s="190"/>
      <c r="CG656" s="190"/>
    </row>
    <row r="657" spans="1:85" ht="15.75">
      <c r="A657" s="270"/>
      <c r="B657" s="271"/>
      <c r="C657" s="272"/>
      <c r="D657" s="112" t="s">
        <v>365</v>
      </c>
      <c r="E657" s="286">
        <f t="shared" ref="E657:H657" si="3051">SUM(E658:E660)</f>
        <v>0</v>
      </c>
      <c r="F657" s="286">
        <f t="shared" si="3051"/>
        <v>0</v>
      </c>
      <c r="G657" s="286">
        <f t="shared" si="3051"/>
        <v>0</v>
      </c>
      <c r="H657" s="286">
        <f t="shared" si="3051"/>
        <v>0</v>
      </c>
      <c r="I657" s="287">
        <f t="shared" si="2631"/>
        <v>0</v>
      </c>
      <c r="J657" s="287">
        <f t="shared" si="2632"/>
        <v>0</v>
      </c>
      <c r="K657" s="286">
        <f t="shared" ref="K657:W657" si="3052">SUM(K658:K660)</f>
        <v>25700</v>
      </c>
      <c r="L657" s="286">
        <f t="shared" si="3052"/>
        <v>14754.99</v>
      </c>
      <c r="M657" s="286">
        <f t="shared" si="3052"/>
        <v>0</v>
      </c>
      <c r="N657" s="286">
        <f t="shared" si="3052"/>
        <v>0</v>
      </c>
      <c r="O657" s="286">
        <f t="shared" si="3052"/>
        <v>25700</v>
      </c>
      <c r="P657" s="286">
        <f t="shared" si="3052"/>
        <v>5855</v>
      </c>
      <c r="Q657" s="286">
        <f t="shared" si="3052"/>
        <v>0</v>
      </c>
      <c r="R657" s="286">
        <f t="shared" si="3052"/>
        <v>25700</v>
      </c>
      <c r="S657" s="286">
        <f t="shared" si="3052"/>
        <v>5855</v>
      </c>
      <c r="T657" s="286">
        <f t="shared" si="3052"/>
        <v>0</v>
      </c>
      <c r="U657" s="286">
        <f t="shared" si="3052"/>
        <v>0</v>
      </c>
      <c r="V657" s="286">
        <f t="shared" si="3052"/>
        <v>8899.99</v>
      </c>
      <c r="W657" s="286">
        <f t="shared" si="3052"/>
        <v>0</v>
      </c>
      <c r="X657" s="288">
        <f t="shared" ref="X657:Y657" si="3053">IF(O657&gt;0,O657/K657,0)</f>
        <v>1</v>
      </c>
      <c r="Y657" s="288">
        <f t="shared" si="3053"/>
        <v>0.39681490804127961</v>
      </c>
      <c r="Z657" s="288">
        <f t="shared" si="2391"/>
        <v>0</v>
      </c>
      <c r="AA657" s="286">
        <f t="shared" ref="AA657:BW657" si="3054">SUM(AA658:AA660)</f>
        <v>0</v>
      </c>
      <c r="AB657" s="286">
        <f t="shared" si="3054"/>
        <v>5855</v>
      </c>
      <c r="AC657" s="286">
        <f t="shared" si="3054"/>
        <v>0</v>
      </c>
      <c r="AD657" s="286">
        <f t="shared" si="3054"/>
        <v>0</v>
      </c>
      <c r="AE657" s="286">
        <f t="shared" si="3054"/>
        <v>0</v>
      </c>
      <c r="AF657" s="286">
        <f t="shared" si="3054"/>
        <v>0</v>
      </c>
      <c r="AG657" s="286">
        <f t="shared" si="3054"/>
        <v>0</v>
      </c>
      <c r="AH657" s="286">
        <f t="shared" si="3054"/>
        <v>0</v>
      </c>
      <c r="AI657" s="286">
        <f t="shared" si="3054"/>
        <v>0</v>
      </c>
      <c r="AJ657" s="286">
        <f t="shared" si="3054"/>
        <v>0</v>
      </c>
      <c r="AK657" s="286">
        <f t="shared" si="3054"/>
        <v>0</v>
      </c>
      <c r="AL657" s="286">
        <f t="shared" si="3054"/>
        <v>0</v>
      </c>
      <c r="AM657" s="286">
        <f t="shared" si="3054"/>
        <v>0</v>
      </c>
      <c r="AN657" s="286">
        <f t="shared" si="3054"/>
        <v>0</v>
      </c>
      <c r="AO657" s="286">
        <f t="shared" si="3054"/>
        <v>0</v>
      </c>
      <c r="AP657" s="286">
        <f t="shared" si="3054"/>
        <v>0</v>
      </c>
      <c r="AQ657" s="286">
        <f t="shared" si="3054"/>
        <v>0</v>
      </c>
      <c r="AR657" s="286">
        <f t="shared" si="3054"/>
        <v>0</v>
      </c>
      <c r="AS657" s="286">
        <f t="shared" si="3054"/>
        <v>0</v>
      </c>
      <c r="AT657" s="286">
        <f t="shared" si="3054"/>
        <v>0</v>
      </c>
      <c r="AU657" s="286">
        <f t="shared" si="3054"/>
        <v>0</v>
      </c>
      <c r="AV657" s="286">
        <f t="shared" si="3054"/>
        <v>25700</v>
      </c>
      <c r="AW657" s="286">
        <f t="shared" si="3054"/>
        <v>0</v>
      </c>
      <c r="AX657" s="286">
        <f t="shared" si="3054"/>
        <v>0</v>
      </c>
      <c r="AY657" s="286">
        <f t="shared" si="3054"/>
        <v>0</v>
      </c>
      <c r="AZ657" s="286">
        <f t="shared" si="3054"/>
        <v>0</v>
      </c>
      <c r="BA657" s="286">
        <f t="shared" si="3054"/>
        <v>0</v>
      </c>
      <c r="BB657" s="286">
        <f t="shared" si="3054"/>
        <v>0</v>
      </c>
      <c r="BC657" s="286">
        <f t="shared" si="3054"/>
        <v>0</v>
      </c>
      <c r="BD657" s="286">
        <f t="shared" si="3054"/>
        <v>0</v>
      </c>
      <c r="BE657" s="286">
        <f t="shared" si="3054"/>
        <v>0</v>
      </c>
      <c r="BF657" s="286">
        <f t="shared" si="3054"/>
        <v>0</v>
      </c>
      <c r="BG657" s="286">
        <f t="shared" si="3054"/>
        <v>0</v>
      </c>
      <c r="BH657" s="286">
        <f t="shared" si="3054"/>
        <v>0</v>
      </c>
      <c r="BI657" s="286">
        <f t="shared" si="3054"/>
        <v>0</v>
      </c>
      <c r="BJ657" s="286">
        <f t="shared" si="3054"/>
        <v>0</v>
      </c>
      <c r="BK657" s="286">
        <f t="shared" si="3054"/>
        <v>25700</v>
      </c>
      <c r="BL657" s="286">
        <f t="shared" si="3054"/>
        <v>5855</v>
      </c>
      <c r="BM657" s="286">
        <f t="shared" si="3054"/>
        <v>0</v>
      </c>
      <c r="BN657" s="286">
        <f t="shared" si="3054"/>
        <v>0</v>
      </c>
      <c r="BO657" s="286">
        <f t="shared" si="3054"/>
        <v>0</v>
      </c>
      <c r="BP657" s="286">
        <f t="shared" si="3054"/>
        <v>0</v>
      </c>
      <c r="BQ657" s="286">
        <f t="shared" si="3054"/>
        <v>0</v>
      </c>
      <c r="BR657" s="286">
        <f t="shared" si="3054"/>
        <v>0</v>
      </c>
      <c r="BS657" s="286">
        <f t="shared" si="3054"/>
        <v>0</v>
      </c>
      <c r="BT657" s="286">
        <f t="shared" si="3054"/>
        <v>8899.99</v>
      </c>
      <c r="BU657" s="286">
        <f t="shared" si="3054"/>
        <v>0</v>
      </c>
      <c r="BV657" s="286">
        <f t="shared" si="3054"/>
        <v>0</v>
      </c>
      <c r="BW657" s="286">
        <f t="shared" si="3054"/>
        <v>8899.99</v>
      </c>
      <c r="BX657" s="1"/>
      <c r="BY657" s="1"/>
      <c r="BZ657" s="1"/>
      <c r="CA657" s="1"/>
      <c r="CB657" s="1"/>
      <c r="CC657" s="1"/>
      <c r="CD657" s="1"/>
      <c r="CE657" s="1"/>
      <c r="CF657" s="1"/>
      <c r="CG657" s="1"/>
    </row>
    <row r="658" spans="1:85" ht="15.75" customHeight="1">
      <c r="A658" s="145"/>
      <c r="B658" s="132" t="s">
        <v>1007</v>
      </c>
      <c r="C658" s="86" t="s">
        <v>810</v>
      </c>
      <c r="D658" s="116" t="s">
        <v>1008</v>
      </c>
      <c r="E658" s="70"/>
      <c r="F658" s="71"/>
      <c r="G658" s="71">
        <f t="shared" ref="G658:G660" si="3055">E658-F658</f>
        <v>0</v>
      </c>
      <c r="H658" s="70"/>
      <c r="I658" s="72">
        <f t="shared" si="2631"/>
        <v>0</v>
      </c>
      <c r="J658" s="72">
        <f t="shared" si="2632"/>
        <v>0</v>
      </c>
      <c r="K658" s="76"/>
      <c r="L658" s="75">
        <v>8899.99</v>
      </c>
      <c r="M658" s="75"/>
      <c r="N658" s="76"/>
      <c r="O658" s="77">
        <f t="shared" ref="O658:Q658" si="3056">AA658+AD658+AG658+AJ658+AM658+AP658+AS658+AV658+AY658+BB658+BE658+BH658</f>
        <v>0</v>
      </c>
      <c r="P658" s="77">
        <f t="shared" si="3056"/>
        <v>0</v>
      </c>
      <c r="Q658" s="77">
        <f t="shared" si="3056"/>
        <v>0</v>
      </c>
      <c r="R658" s="77">
        <f t="shared" ref="R658:T658" si="3057">IF(BK658=0,SUM(AA658+AD658+AG658+AJ658+AM658+AP658+AS658+AV658+AY658+BB658+BE658+BH658),BK658)</f>
        <v>0</v>
      </c>
      <c r="S658" s="77">
        <f t="shared" si="3057"/>
        <v>0</v>
      </c>
      <c r="T658" s="77">
        <f t="shared" si="3057"/>
        <v>0</v>
      </c>
      <c r="U658" s="79">
        <f t="shared" ref="U658:U660" si="3058">K658-O658</f>
        <v>0</v>
      </c>
      <c r="V658" s="79">
        <f t="shared" ref="V658:V660" si="3059">L658-M658-S658</f>
        <v>8899.99</v>
      </c>
      <c r="W658" s="79">
        <f t="shared" ref="W658:W660" si="3060">N658-Q658</f>
        <v>0</v>
      </c>
      <c r="X658" s="80">
        <f t="shared" ref="X658:Y658" si="3061">IF(O658&gt;0,O658/K658,0)</f>
        <v>0</v>
      </c>
      <c r="Y658" s="80">
        <f t="shared" si="3061"/>
        <v>0</v>
      </c>
      <c r="Z658" s="80">
        <f t="shared" si="2391"/>
        <v>0</v>
      </c>
      <c r="AA658" s="81"/>
      <c r="AB658" s="81"/>
      <c r="AC658" s="81"/>
      <c r="AD658" s="81"/>
      <c r="AE658" s="83"/>
      <c r="AF658" s="83"/>
      <c r="AG658" s="83"/>
      <c r="AH658" s="83"/>
      <c r="AI658" s="81"/>
      <c r="AJ658" s="81"/>
      <c r="AK658" s="81"/>
      <c r="AL658" s="81"/>
      <c r="AM658" s="81"/>
      <c r="AN658" s="81"/>
      <c r="AO658" s="81"/>
      <c r="AP658" s="81"/>
      <c r="AQ658" s="81"/>
      <c r="AR658" s="81"/>
      <c r="AS658" s="81"/>
      <c r="AT658" s="81"/>
      <c r="AU658" s="81"/>
      <c r="AV658" s="81"/>
      <c r="AW658" s="81"/>
      <c r="AX658" s="81"/>
      <c r="AY658" s="81"/>
      <c r="AZ658" s="81"/>
      <c r="BA658" s="81"/>
      <c r="BB658" s="81"/>
      <c r="BC658" s="81"/>
      <c r="BD658" s="81"/>
      <c r="BE658" s="81"/>
      <c r="BF658" s="81"/>
      <c r="BG658" s="81"/>
      <c r="BH658" s="81"/>
      <c r="BI658" s="81"/>
      <c r="BJ658" s="81"/>
      <c r="BK658" s="82">
        <v>0</v>
      </c>
      <c r="BL658" s="82">
        <v>0</v>
      </c>
      <c r="BM658" s="82">
        <v>0</v>
      </c>
      <c r="BN658" s="81">
        <f t="shared" ref="BN658:BN660" si="3062">IF(O658-BK658&gt;0,O658-BK658,0)</f>
        <v>0</v>
      </c>
      <c r="BO658" s="75">
        <f t="shared" ref="BO658:BO660" si="3063">IF(Q658-BM658&gt;0,Q658-BM658,0)</f>
        <v>0</v>
      </c>
      <c r="BP658" s="81">
        <f t="shared" ref="BP658:BP660" si="3064">IF(BN658+BO658&gt;0,BN658+BO658,0)</f>
        <v>0</v>
      </c>
      <c r="BQ658" s="81">
        <f t="shared" ref="BQ658:BQ660" si="3065">IF(U658=0,0,U658)</f>
        <v>0</v>
      </c>
      <c r="BR658" s="81">
        <f t="shared" ref="BR658:BR660" si="3066">IF(W658=0,0,W658)</f>
        <v>0</v>
      </c>
      <c r="BS658" s="81">
        <f t="shared" ref="BS658:BS660" si="3067">IF(BQ658+BR658&gt;0,BQ658+BR658,0)</f>
        <v>0</v>
      </c>
      <c r="BT658" s="133">
        <f t="shared" ref="BT658:BT660" si="3068">IF(V658&gt;0,V658,0)</f>
        <v>8899.99</v>
      </c>
      <c r="BU658" s="81">
        <f t="shared" ref="BU658:BU660" si="3069">IF(BP658=0,0,BP658)</f>
        <v>0</v>
      </c>
      <c r="BV658" s="81">
        <f t="shared" ref="BV658:BV660" si="3070">IF(BS658=0,0,BS658)</f>
        <v>0</v>
      </c>
      <c r="BW658" s="81">
        <f t="shared" ref="BW658:BW660" si="3071">IF(BP658+BT658+BV658&gt;0,BP658+BT658+BV658,0)</f>
        <v>8899.99</v>
      </c>
      <c r="BX658" s="1"/>
      <c r="BY658" s="1"/>
      <c r="BZ658" s="1"/>
      <c r="CA658" s="1"/>
      <c r="CB658" s="1"/>
      <c r="CC658" s="1"/>
      <c r="CD658" s="1"/>
      <c r="CE658" s="1"/>
      <c r="CF658" s="1"/>
      <c r="CG658" s="1"/>
    </row>
    <row r="659" spans="1:85" ht="15.75" customHeight="1">
      <c r="A659" s="176" t="s">
        <v>1009</v>
      </c>
      <c r="B659" s="132"/>
      <c r="C659" s="129" t="s">
        <v>1010</v>
      </c>
      <c r="D659" s="412" t="s">
        <v>1011</v>
      </c>
      <c r="E659" s="70"/>
      <c r="F659" s="71"/>
      <c r="G659" s="71">
        <f t="shared" si="3055"/>
        <v>0</v>
      </c>
      <c r="H659" s="70"/>
      <c r="I659" s="72">
        <f t="shared" si="2631"/>
        <v>0</v>
      </c>
      <c r="J659" s="72">
        <f t="shared" si="2632"/>
        <v>0</v>
      </c>
      <c r="K659" s="94">
        <v>25700</v>
      </c>
      <c r="L659" s="409"/>
      <c r="M659" s="75"/>
      <c r="N659" s="76"/>
      <c r="O659" s="77">
        <f t="shared" ref="O659:Q659" si="3072">AA659+AD659+AG659+AJ659+AM659+AP659+AS659+AV659+AY659+BB659+BE659+BH659</f>
        <v>25700</v>
      </c>
      <c r="P659" s="77">
        <f t="shared" si="3072"/>
        <v>0</v>
      </c>
      <c r="Q659" s="77">
        <f t="shared" si="3072"/>
        <v>0</v>
      </c>
      <c r="R659" s="77">
        <f t="shared" ref="R659:T659" si="3073">IF(BK659=0,SUM(AA659+AD659+AG659+AJ659+AM659+AP659+AS659+AV659+AY659+BB659+BE659+BH659),BK659)</f>
        <v>25700</v>
      </c>
      <c r="S659" s="77">
        <f t="shared" si="3073"/>
        <v>0</v>
      </c>
      <c r="T659" s="77">
        <f t="shared" si="3073"/>
        <v>0</v>
      </c>
      <c r="U659" s="78">
        <f t="shared" si="3058"/>
        <v>0</v>
      </c>
      <c r="V659" s="79">
        <f t="shared" si="3059"/>
        <v>0</v>
      </c>
      <c r="W659" s="79">
        <f t="shared" si="3060"/>
        <v>0</v>
      </c>
      <c r="X659" s="80">
        <f t="shared" ref="X659:Y659" si="3074">IF(O659&gt;0,O659/K659,0)</f>
        <v>1</v>
      </c>
      <c r="Y659" s="80">
        <f t="shared" si="3074"/>
        <v>0</v>
      </c>
      <c r="Z659" s="80">
        <f t="shared" si="2391"/>
        <v>0</v>
      </c>
      <c r="AA659" s="81"/>
      <c r="AB659" s="82"/>
      <c r="AC659" s="81"/>
      <c r="AD659" s="81"/>
      <c r="AE659" s="83"/>
      <c r="AF659" s="83"/>
      <c r="AG659" s="83"/>
      <c r="AH659" s="83"/>
      <c r="AI659" s="81"/>
      <c r="AJ659" s="81"/>
      <c r="AK659" s="81"/>
      <c r="AL659" s="81"/>
      <c r="AM659" s="81"/>
      <c r="AN659" s="81"/>
      <c r="AO659" s="81"/>
      <c r="AP659" s="81"/>
      <c r="AQ659" s="81"/>
      <c r="AR659" s="81"/>
      <c r="AS659" s="81"/>
      <c r="AT659" s="81"/>
      <c r="AU659" s="81"/>
      <c r="AV659" s="82">
        <v>25700</v>
      </c>
      <c r="AW659" s="81"/>
      <c r="AX659" s="81"/>
      <c r="AY659" s="81"/>
      <c r="AZ659" s="81"/>
      <c r="BA659" s="81"/>
      <c r="BB659" s="81"/>
      <c r="BC659" s="81"/>
      <c r="BD659" s="81"/>
      <c r="BE659" s="81"/>
      <c r="BF659" s="81"/>
      <c r="BG659" s="81"/>
      <c r="BH659" s="81"/>
      <c r="BI659" s="81"/>
      <c r="BJ659" s="81"/>
      <c r="BK659" s="82">
        <v>25700</v>
      </c>
      <c r="BL659" s="82">
        <v>0</v>
      </c>
      <c r="BM659" s="82">
        <v>0</v>
      </c>
      <c r="BN659" s="81">
        <f t="shared" si="3062"/>
        <v>0</v>
      </c>
      <c r="BO659" s="75">
        <f t="shared" si="3063"/>
        <v>0</v>
      </c>
      <c r="BP659" s="81">
        <f t="shared" si="3064"/>
        <v>0</v>
      </c>
      <c r="BQ659" s="81">
        <f t="shared" si="3065"/>
        <v>0</v>
      </c>
      <c r="BR659" s="81">
        <f t="shared" si="3066"/>
        <v>0</v>
      </c>
      <c r="BS659" s="81">
        <f t="shared" si="3067"/>
        <v>0</v>
      </c>
      <c r="BT659" s="81">
        <f t="shared" si="3068"/>
        <v>0</v>
      </c>
      <c r="BU659" s="81">
        <f t="shared" si="3069"/>
        <v>0</v>
      </c>
      <c r="BV659" s="81">
        <f t="shared" si="3070"/>
        <v>0</v>
      </c>
      <c r="BW659" s="81">
        <f t="shared" si="3071"/>
        <v>0</v>
      </c>
      <c r="BX659" s="1"/>
      <c r="BY659" s="1"/>
      <c r="BZ659" s="1"/>
      <c r="CA659" s="1"/>
      <c r="CB659" s="1"/>
      <c r="CC659" s="1"/>
      <c r="CD659" s="1"/>
      <c r="CE659" s="1"/>
      <c r="CF659" s="1"/>
      <c r="CG659" s="1"/>
    </row>
    <row r="660" spans="1:85" ht="15.75" customHeight="1">
      <c r="A660" s="413"/>
      <c r="B660" s="161" t="s">
        <v>1012</v>
      </c>
      <c r="C660" s="91" t="s">
        <v>1013</v>
      </c>
      <c r="D660" s="414" t="s">
        <v>1014</v>
      </c>
      <c r="E660" s="70"/>
      <c r="F660" s="71"/>
      <c r="G660" s="71">
        <f t="shared" si="3055"/>
        <v>0</v>
      </c>
      <c r="H660" s="70"/>
      <c r="I660" s="72">
        <f t="shared" si="2631"/>
        <v>0</v>
      </c>
      <c r="J660" s="72">
        <f t="shared" si="2632"/>
        <v>0</v>
      </c>
      <c r="K660" s="76"/>
      <c r="L660" s="75">
        <v>5855</v>
      </c>
      <c r="M660" s="75"/>
      <c r="N660" s="76"/>
      <c r="O660" s="77">
        <f t="shared" ref="O660:Q660" si="3075">AA660+AD660+AG660+AJ660+AM660+AP660+AS660+AV660+AY660+BB660+BE660+BH660</f>
        <v>0</v>
      </c>
      <c r="P660" s="77">
        <f t="shared" si="3075"/>
        <v>5855</v>
      </c>
      <c r="Q660" s="77">
        <f t="shared" si="3075"/>
        <v>0</v>
      </c>
      <c r="R660" s="77">
        <f t="shared" ref="R660:T660" si="3076">IF(BK660=0,SUM(AA660+AD660+AG660+AJ660+AM660+AP660+AS660+AV660+AY660+BB660+BE660+BH660),BK660)</f>
        <v>0</v>
      </c>
      <c r="S660" s="77">
        <f t="shared" si="3076"/>
        <v>5855</v>
      </c>
      <c r="T660" s="77">
        <f t="shared" si="3076"/>
        <v>0</v>
      </c>
      <c r="U660" s="79">
        <f t="shared" si="3058"/>
        <v>0</v>
      </c>
      <c r="V660" s="79">
        <f t="shared" si="3059"/>
        <v>0</v>
      </c>
      <c r="W660" s="79">
        <f t="shared" si="3060"/>
        <v>0</v>
      </c>
      <c r="X660" s="80">
        <f t="shared" ref="X660:Y660" si="3077">IF(O660&gt;0,O660/K660,0)</f>
        <v>0</v>
      </c>
      <c r="Y660" s="80">
        <f t="shared" si="3077"/>
        <v>1</v>
      </c>
      <c r="Z660" s="80">
        <f t="shared" si="2391"/>
        <v>0</v>
      </c>
      <c r="AA660" s="81"/>
      <c r="AB660" s="82">
        <v>5855</v>
      </c>
      <c r="AC660" s="81"/>
      <c r="AD660" s="81"/>
      <c r="AE660" s="83"/>
      <c r="AF660" s="83"/>
      <c r="AG660" s="83"/>
      <c r="AH660" s="83"/>
      <c r="AI660" s="81"/>
      <c r="AJ660" s="81"/>
      <c r="AK660" s="81"/>
      <c r="AL660" s="81"/>
      <c r="AM660" s="81"/>
      <c r="AN660" s="81"/>
      <c r="AO660" s="81"/>
      <c r="AP660" s="81"/>
      <c r="AQ660" s="81"/>
      <c r="AR660" s="81"/>
      <c r="AS660" s="81"/>
      <c r="AT660" s="81"/>
      <c r="AU660" s="81"/>
      <c r="AV660" s="81"/>
      <c r="AW660" s="81"/>
      <c r="AX660" s="81"/>
      <c r="AY660" s="81"/>
      <c r="AZ660" s="81"/>
      <c r="BA660" s="81"/>
      <c r="BB660" s="81"/>
      <c r="BC660" s="81"/>
      <c r="BD660" s="81"/>
      <c r="BE660" s="81"/>
      <c r="BF660" s="81"/>
      <c r="BG660" s="81"/>
      <c r="BH660" s="81"/>
      <c r="BI660" s="81"/>
      <c r="BJ660" s="81"/>
      <c r="BK660" s="82">
        <v>0</v>
      </c>
      <c r="BL660" s="82">
        <v>5855</v>
      </c>
      <c r="BM660" s="82">
        <v>0</v>
      </c>
      <c r="BN660" s="81">
        <f t="shared" si="3062"/>
        <v>0</v>
      </c>
      <c r="BO660" s="75">
        <f t="shared" si="3063"/>
        <v>0</v>
      </c>
      <c r="BP660" s="81">
        <f t="shared" si="3064"/>
        <v>0</v>
      </c>
      <c r="BQ660" s="81">
        <f t="shared" si="3065"/>
        <v>0</v>
      </c>
      <c r="BR660" s="81">
        <f t="shared" si="3066"/>
        <v>0</v>
      </c>
      <c r="BS660" s="81">
        <f t="shared" si="3067"/>
        <v>0</v>
      </c>
      <c r="BT660" s="81">
        <f t="shared" si="3068"/>
        <v>0</v>
      </c>
      <c r="BU660" s="81">
        <f t="shared" si="3069"/>
        <v>0</v>
      </c>
      <c r="BV660" s="81">
        <f t="shared" si="3070"/>
        <v>0</v>
      </c>
      <c r="BW660" s="81">
        <f t="shared" si="3071"/>
        <v>0</v>
      </c>
      <c r="BX660" s="1"/>
      <c r="BY660" s="1"/>
      <c r="BZ660" s="1"/>
      <c r="CA660" s="1"/>
      <c r="CB660" s="1"/>
      <c r="CC660" s="1"/>
      <c r="CD660" s="1"/>
      <c r="CE660" s="1"/>
      <c r="CF660" s="1"/>
      <c r="CG660" s="1"/>
    </row>
    <row r="661" spans="1:85" ht="15.75" customHeight="1">
      <c r="A661" s="100"/>
      <c r="B661" s="101"/>
      <c r="C661" s="102"/>
      <c r="D661" s="195" t="s">
        <v>376</v>
      </c>
      <c r="E661" s="104">
        <f t="shared" ref="E661:H661" si="3078">E662+E665+E667+E670+E685+E689</f>
        <v>0</v>
      </c>
      <c r="F661" s="104">
        <f t="shared" si="3078"/>
        <v>0</v>
      </c>
      <c r="G661" s="104">
        <f t="shared" si="3078"/>
        <v>0</v>
      </c>
      <c r="H661" s="104">
        <f t="shared" si="3078"/>
        <v>570000</v>
      </c>
      <c r="I661" s="105">
        <f t="shared" si="2631"/>
        <v>0</v>
      </c>
      <c r="J661" s="105">
        <f t="shared" si="2632"/>
        <v>0</v>
      </c>
      <c r="K661" s="104">
        <f t="shared" ref="K661:W661" si="3079">K662+K665+K667+K670+K685+K689</f>
        <v>0</v>
      </c>
      <c r="L661" s="104">
        <f t="shared" si="3079"/>
        <v>0</v>
      </c>
      <c r="M661" s="104">
        <f t="shared" si="3079"/>
        <v>0</v>
      </c>
      <c r="N661" s="104">
        <f t="shared" si="3079"/>
        <v>808525.62</v>
      </c>
      <c r="O661" s="104">
        <f t="shared" si="3079"/>
        <v>0</v>
      </c>
      <c r="P661" s="104">
        <f t="shared" si="3079"/>
        <v>0</v>
      </c>
      <c r="Q661" s="104">
        <f t="shared" si="3079"/>
        <v>404716.52</v>
      </c>
      <c r="R661" s="104">
        <f t="shared" si="3079"/>
        <v>0</v>
      </c>
      <c r="S661" s="104">
        <f t="shared" si="3079"/>
        <v>0</v>
      </c>
      <c r="T661" s="104">
        <f t="shared" si="3079"/>
        <v>383363.04000010004</v>
      </c>
      <c r="U661" s="104">
        <f t="shared" si="3079"/>
        <v>0</v>
      </c>
      <c r="V661" s="104">
        <f t="shared" si="3079"/>
        <v>0</v>
      </c>
      <c r="W661" s="104">
        <f t="shared" si="3079"/>
        <v>403809.10000000003</v>
      </c>
      <c r="X661" s="106">
        <f t="shared" ref="X661:Y661" si="3080">IF(O661&gt;0,O661/K661,0)</f>
        <v>0</v>
      </c>
      <c r="Y661" s="106">
        <f t="shared" si="3080"/>
        <v>0</v>
      </c>
      <c r="Z661" s="106">
        <f t="shared" si="2391"/>
        <v>0.50056115723333539</v>
      </c>
      <c r="AA661" s="104">
        <f t="shared" ref="AA661:BW661" si="3081">AA662+AA665+AA667+AA670+AA685+AA689</f>
        <v>0</v>
      </c>
      <c r="AB661" s="104">
        <f t="shared" si="3081"/>
        <v>0</v>
      </c>
      <c r="AC661" s="104">
        <f t="shared" si="3081"/>
        <v>0</v>
      </c>
      <c r="AD661" s="104">
        <f t="shared" si="3081"/>
        <v>0</v>
      </c>
      <c r="AE661" s="104">
        <f t="shared" si="3081"/>
        <v>0</v>
      </c>
      <c r="AF661" s="104">
        <f t="shared" si="3081"/>
        <v>0</v>
      </c>
      <c r="AG661" s="104">
        <f t="shared" si="3081"/>
        <v>0</v>
      </c>
      <c r="AH661" s="104">
        <f t="shared" si="3081"/>
        <v>0</v>
      </c>
      <c r="AI661" s="104">
        <f t="shared" si="3081"/>
        <v>0</v>
      </c>
      <c r="AJ661" s="104">
        <f t="shared" si="3081"/>
        <v>0</v>
      </c>
      <c r="AK661" s="104">
        <f t="shared" si="3081"/>
        <v>0</v>
      </c>
      <c r="AL661" s="104">
        <f t="shared" si="3081"/>
        <v>0</v>
      </c>
      <c r="AM661" s="104">
        <f t="shared" si="3081"/>
        <v>0</v>
      </c>
      <c r="AN661" s="104">
        <f t="shared" si="3081"/>
        <v>0</v>
      </c>
      <c r="AO661" s="104">
        <f t="shared" si="3081"/>
        <v>0</v>
      </c>
      <c r="AP661" s="104">
        <f t="shared" si="3081"/>
        <v>0</v>
      </c>
      <c r="AQ661" s="104">
        <f t="shared" si="3081"/>
        <v>0</v>
      </c>
      <c r="AR661" s="104">
        <f t="shared" si="3081"/>
        <v>0</v>
      </c>
      <c r="AS661" s="104">
        <f t="shared" si="3081"/>
        <v>0</v>
      </c>
      <c r="AT661" s="104">
        <f t="shared" si="3081"/>
        <v>0</v>
      </c>
      <c r="AU661" s="104">
        <f t="shared" si="3081"/>
        <v>0</v>
      </c>
      <c r="AV661" s="104">
        <f t="shared" si="3081"/>
        <v>0</v>
      </c>
      <c r="AW661" s="104">
        <f t="shared" si="3081"/>
        <v>0</v>
      </c>
      <c r="AX661" s="104">
        <f t="shared" si="3081"/>
        <v>0</v>
      </c>
      <c r="AY661" s="104">
        <f t="shared" si="3081"/>
        <v>0</v>
      </c>
      <c r="AZ661" s="104">
        <f t="shared" si="3081"/>
        <v>0</v>
      </c>
      <c r="BA661" s="104">
        <f t="shared" si="3081"/>
        <v>0</v>
      </c>
      <c r="BB661" s="104">
        <f t="shared" si="3081"/>
        <v>0</v>
      </c>
      <c r="BC661" s="104">
        <f t="shared" si="3081"/>
        <v>0</v>
      </c>
      <c r="BD661" s="104">
        <f t="shared" si="3081"/>
        <v>7350</v>
      </c>
      <c r="BE661" s="104">
        <f t="shared" si="3081"/>
        <v>0</v>
      </c>
      <c r="BF661" s="104">
        <f t="shared" si="3081"/>
        <v>0</v>
      </c>
      <c r="BG661" s="104">
        <f t="shared" si="3081"/>
        <v>264976.40000000002</v>
      </c>
      <c r="BH661" s="104">
        <f t="shared" si="3081"/>
        <v>0</v>
      </c>
      <c r="BI661" s="104">
        <f t="shared" si="3081"/>
        <v>0</v>
      </c>
      <c r="BJ661" s="104">
        <f t="shared" si="3081"/>
        <v>132390.12</v>
      </c>
      <c r="BK661" s="104">
        <f t="shared" si="3081"/>
        <v>0</v>
      </c>
      <c r="BL661" s="104">
        <f t="shared" si="3081"/>
        <v>0</v>
      </c>
      <c r="BM661" s="104">
        <f t="shared" si="3081"/>
        <v>383363.04000010004</v>
      </c>
      <c r="BN661" s="104">
        <f t="shared" si="3081"/>
        <v>0</v>
      </c>
      <c r="BO661" s="104">
        <f t="shared" si="3081"/>
        <v>21353.479999899995</v>
      </c>
      <c r="BP661" s="104">
        <f t="shared" si="3081"/>
        <v>21353.479999899995</v>
      </c>
      <c r="BQ661" s="104">
        <f t="shared" si="3081"/>
        <v>0</v>
      </c>
      <c r="BR661" s="104">
        <f t="shared" si="3081"/>
        <v>403809.10000000003</v>
      </c>
      <c r="BS661" s="104">
        <f t="shared" si="3081"/>
        <v>403809.10000000003</v>
      </c>
      <c r="BT661" s="104">
        <f t="shared" si="3081"/>
        <v>0</v>
      </c>
      <c r="BU661" s="104">
        <f t="shared" si="3081"/>
        <v>21353.479999899995</v>
      </c>
      <c r="BV661" s="104">
        <f t="shared" si="3081"/>
        <v>403809.10000000003</v>
      </c>
      <c r="BW661" s="104">
        <f t="shared" si="3081"/>
        <v>425162.57999990002</v>
      </c>
      <c r="BX661" s="1"/>
      <c r="BY661" s="1"/>
      <c r="BZ661" s="1"/>
      <c r="CA661" s="1"/>
      <c r="CB661" s="1"/>
      <c r="CC661" s="1"/>
      <c r="CD661" s="1"/>
      <c r="CE661" s="1"/>
      <c r="CF661" s="1"/>
      <c r="CG661" s="1"/>
    </row>
    <row r="662" spans="1:85" ht="15.75">
      <c r="A662" s="109"/>
      <c r="B662" s="110"/>
      <c r="C662" s="111"/>
      <c r="D662" s="112" t="s">
        <v>128</v>
      </c>
      <c r="E662" s="58">
        <f t="shared" ref="E662:H662" si="3082">SUM(E663:E664)</f>
        <v>0</v>
      </c>
      <c r="F662" s="58">
        <f t="shared" si="3082"/>
        <v>0</v>
      </c>
      <c r="G662" s="58">
        <f t="shared" si="3082"/>
        <v>0</v>
      </c>
      <c r="H662" s="58">
        <f t="shared" si="3082"/>
        <v>50000</v>
      </c>
      <c r="I662" s="60">
        <f t="shared" si="2631"/>
        <v>0</v>
      </c>
      <c r="J662" s="60">
        <f t="shared" si="2632"/>
        <v>0</v>
      </c>
      <c r="K662" s="58">
        <f t="shared" ref="K662:W662" si="3083">SUM(K663:K664)</f>
        <v>0</v>
      </c>
      <c r="L662" s="58">
        <f t="shared" si="3083"/>
        <v>0</v>
      </c>
      <c r="M662" s="58">
        <f t="shared" si="3083"/>
        <v>0</v>
      </c>
      <c r="N662" s="58">
        <f t="shared" si="3083"/>
        <v>0</v>
      </c>
      <c r="O662" s="58">
        <f t="shared" si="3083"/>
        <v>0</v>
      </c>
      <c r="P662" s="58">
        <f t="shared" si="3083"/>
        <v>0</v>
      </c>
      <c r="Q662" s="58">
        <f t="shared" si="3083"/>
        <v>0</v>
      </c>
      <c r="R662" s="58">
        <f t="shared" si="3083"/>
        <v>0</v>
      </c>
      <c r="S662" s="58">
        <f t="shared" si="3083"/>
        <v>0</v>
      </c>
      <c r="T662" s="58">
        <f t="shared" si="3083"/>
        <v>0</v>
      </c>
      <c r="U662" s="58">
        <f t="shared" si="3083"/>
        <v>0</v>
      </c>
      <c r="V662" s="58">
        <f t="shared" si="3083"/>
        <v>0</v>
      </c>
      <c r="W662" s="58">
        <f t="shared" si="3083"/>
        <v>0</v>
      </c>
      <c r="X662" s="63">
        <f t="shared" ref="X662:Y662" si="3084">IF(O662&gt;0,O662/K662,0)</f>
        <v>0</v>
      </c>
      <c r="Y662" s="63">
        <f t="shared" si="3084"/>
        <v>0</v>
      </c>
      <c r="Z662" s="63">
        <f t="shared" si="2391"/>
        <v>0</v>
      </c>
      <c r="AA662" s="58">
        <f t="shared" ref="AA662:BW662" si="3085">SUM(AA663:AA664)</f>
        <v>0</v>
      </c>
      <c r="AB662" s="58">
        <f t="shared" si="3085"/>
        <v>0</v>
      </c>
      <c r="AC662" s="58">
        <f t="shared" si="3085"/>
        <v>0</v>
      </c>
      <c r="AD662" s="58">
        <f t="shared" si="3085"/>
        <v>0</v>
      </c>
      <c r="AE662" s="58">
        <f t="shared" si="3085"/>
        <v>0</v>
      </c>
      <c r="AF662" s="58">
        <f t="shared" si="3085"/>
        <v>0</v>
      </c>
      <c r="AG662" s="58">
        <f t="shared" si="3085"/>
        <v>0</v>
      </c>
      <c r="AH662" s="58">
        <f t="shared" si="3085"/>
        <v>0</v>
      </c>
      <c r="AI662" s="58">
        <f t="shared" si="3085"/>
        <v>0</v>
      </c>
      <c r="AJ662" s="58">
        <f t="shared" si="3085"/>
        <v>0</v>
      </c>
      <c r="AK662" s="58">
        <f t="shared" si="3085"/>
        <v>0</v>
      </c>
      <c r="AL662" s="58">
        <f t="shared" si="3085"/>
        <v>0</v>
      </c>
      <c r="AM662" s="58">
        <f t="shared" si="3085"/>
        <v>0</v>
      </c>
      <c r="AN662" s="58">
        <f t="shared" si="3085"/>
        <v>0</v>
      </c>
      <c r="AO662" s="58">
        <f t="shared" si="3085"/>
        <v>0</v>
      </c>
      <c r="AP662" s="58">
        <f t="shared" si="3085"/>
        <v>0</v>
      </c>
      <c r="AQ662" s="58">
        <f t="shared" si="3085"/>
        <v>0</v>
      </c>
      <c r="AR662" s="58">
        <f t="shared" si="3085"/>
        <v>0</v>
      </c>
      <c r="AS662" s="58">
        <f t="shared" si="3085"/>
        <v>0</v>
      </c>
      <c r="AT662" s="58">
        <f t="shared" si="3085"/>
        <v>0</v>
      </c>
      <c r="AU662" s="58">
        <f t="shared" si="3085"/>
        <v>0</v>
      </c>
      <c r="AV662" s="58">
        <f t="shared" si="3085"/>
        <v>0</v>
      </c>
      <c r="AW662" s="58">
        <f t="shared" si="3085"/>
        <v>0</v>
      </c>
      <c r="AX662" s="58">
        <f t="shared" si="3085"/>
        <v>0</v>
      </c>
      <c r="AY662" s="58">
        <f t="shared" si="3085"/>
        <v>0</v>
      </c>
      <c r="AZ662" s="58">
        <f t="shared" si="3085"/>
        <v>0</v>
      </c>
      <c r="BA662" s="58">
        <f t="shared" si="3085"/>
        <v>0</v>
      </c>
      <c r="BB662" s="58">
        <f t="shared" si="3085"/>
        <v>0</v>
      </c>
      <c r="BC662" s="58">
        <f t="shared" si="3085"/>
        <v>0</v>
      </c>
      <c r="BD662" s="58">
        <f t="shared" si="3085"/>
        <v>0</v>
      </c>
      <c r="BE662" s="58">
        <f t="shared" si="3085"/>
        <v>0</v>
      </c>
      <c r="BF662" s="58">
        <f t="shared" si="3085"/>
        <v>0</v>
      </c>
      <c r="BG662" s="58">
        <f t="shared" si="3085"/>
        <v>0</v>
      </c>
      <c r="BH662" s="58">
        <f t="shared" si="3085"/>
        <v>0</v>
      </c>
      <c r="BI662" s="58">
        <f t="shared" si="3085"/>
        <v>0</v>
      </c>
      <c r="BJ662" s="58">
        <f t="shared" si="3085"/>
        <v>0</v>
      </c>
      <c r="BK662" s="58">
        <f t="shared" si="3085"/>
        <v>0</v>
      </c>
      <c r="BL662" s="58">
        <f t="shared" si="3085"/>
        <v>0</v>
      </c>
      <c r="BM662" s="58">
        <f t="shared" si="3085"/>
        <v>0</v>
      </c>
      <c r="BN662" s="58">
        <f t="shared" si="3085"/>
        <v>0</v>
      </c>
      <c r="BO662" s="58">
        <f t="shared" si="3085"/>
        <v>0</v>
      </c>
      <c r="BP662" s="58">
        <f t="shared" si="3085"/>
        <v>0</v>
      </c>
      <c r="BQ662" s="58">
        <f t="shared" si="3085"/>
        <v>0</v>
      </c>
      <c r="BR662" s="58">
        <f t="shared" si="3085"/>
        <v>0</v>
      </c>
      <c r="BS662" s="58">
        <f t="shared" si="3085"/>
        <v>0</v>
      </c>
      <c r="BT662" s="58">
        <f t="shared" si="3085"/>
        <v>0</v>
      </c>
      <c r="BU662" s="58">
        <f t="shared" si="3085"/>
        <v>0</v>
      </c>
      <c r="BV662" s="58">
        <f t="shared" si="3085"/>
        <v>0</v>
      </c>
      <c r="BW662" s="58">
        <f t="shared" si="3085"/>
        <v>0</v>
      </c>
      <c r="BX662" s="65"/>
      <c r="BY662" s="65"/>
      <c r="BZ662" s="65"/>
      <c r="CA662" s="65"/>
      <c r="CB662" s="65"/>
      <c r="CC662" s="65"/>
      <c r="CD662" s="65"/>
      <c r="CE662" s="65"/>
      <c r="CF662" s="65"/>
      <c r="CG662" s="65"/>
    </row>
    <row r="663" spans="1:85" ht="15.75" customHeight="1">
      <c r="A663" s="84"/>
      <c r="B663" s="115"/>
      <c r="C663" s="86" t="s">
        <v>169</v>
      </c>
      <c r="D663" s="87" t="s">
        <v>1015</v>
      </c>
      <c r="E663" s="163"/>
      <c r="F663" s="164"/>
      <c r="G663" s="71">
        <f t="shared" ref="G663:G664" si="3086">E663-F663</f>
        <v>0</v>
      </c>
      <c r="H663" s="196">
        <v>30000</v>
      </c>
      <c r="I663" s="72">
        <f t="shared" si="2631"/>
        <v>0</v>
      </c>
      <c r="J663" s="72">
        <f t="shared" si="2632"/>
        <v>0</v>
      </c>
      <c r="K663" s="76"/>
      <c r="L663" s="75"/>
      <c r="M663" s="81"/>
      <c r="N663" s="88"/>
      <c r="O663" s="77">
        <f t="shared" ref="O663:Q663" si="3087">AA663+AD663+AG663+AJ663+AM663+AP663+AS663+AV663+AY663+BB663+BE663+BH663</f>
        <v>0</v>
      </c>
      <c r="P663" s="77">
        <f t="shared" si="3087"/>
        <v>0</v>
      </c>
      <c r="Q663" s="77">
        <f t="shared" si="3087"/>
        <v>0</v>
      </c>
      <c r="R663" s="77">
        <f t="shared" ref="R663:T663" si="3088">IF(BK663=0,SUM(AA663+AD663+AG663+AJ663+AM663+AP663+AS663+AV663+AY663+BB663+BE663+BH663),BK663)</f>
        <v>0</v>
      </c>
      <c r="S663" s="77">
        <f t="shared" si="3088"/>
        <v>0</v>
      </c>
      <c r="T663" s="77">
        <f t="shared" si="3088"/>
        <v>0</v>
      </c>
      <c r="U663" s="79">
        <f t="shared" ref="U663:U664" si="3089">K663-O663</f>
        <v>0</v>
      </c>
      <c r="V663" s="79">
        <f t="shared" ref="V663:V664" si="3090">L663-M663-S663</f>
        <v>0</v>
      </c>
      <c r="W663" s="79">
        <f t="shared" ref="W663:W664" si="3091">N663-Q663</f>
        <v>0</v>
      </c>
      <c r="X663" s="80">
        <f t="shared" ref="X663:Y663" si="3092">IF(O663&gt;0,O663/K663,0)</f>
        <v>0</v>
      </c>
      <c r="Y663" s="80">
        <f t="shared" si="3092"/>
        <v>0</v>
      </c>
      <c r="Z663" s="80">
        <f t="shared" si="2391"/>
        <v>0</v>
      </c>
      <c r="AA663" s="81"/>
      <c r="AB663" s="81"/>
      <c r="AC663" s="81"/>
      <c r="AD663" s="81"/>
      <c r="AE663" s="83"/>
      <c r="AF663" s="83"/>
      <c r="AG663" s="83"/>
      <c r="AH663" s="83"/>
      <c r="AI663" s="81"/>
      <c r="AJ663" s="81"/>
      <c r="AK663" s="81"/>
      <c r="AL663" s="81"/>
      <c r="AM663" s="81"/>
      <c r="AN663" s="81"/>
      <c r="AO663" s="81"/>
      <c r="AP663" s="81"/>
      <c r="AQ663" s="81"/>
      <c r="AR663" s="81"/>
      <c r="AS663" s="81"/>
      <c r="AT663" s="81"/>
      <c r="AU663" s="81"/>
      <c r="AV663" s="81"/>
      <c r="AW663" s="81"/>
      <c r="AX663" s="81"/>
      <c r="AY663" s="81"/>
      <c r="AZ663" s="81"/>
      <c r="BA663" s="81"/>
      <c r="BB663" s="81"/>
      <c r="BC663" s="81"/>
      <c r="BD663" s="81"/>
      <c r="BE663" s="81"/>
      <c r="BF663" s="81"/>
      <c r="BG663" s="81"/>
      <c r="BH663" s="81"/>
      <c r="BI663" s="81"/>
      <c r="BJ663" s="81"/>
      <c r="BK663" s="82">
        <v>0</v>
      </c>
      <c r="BL663" s="82">
        <v>0</v>
      </c>
      <c r="BM663" s="82">
        <v>0</v>
      </c>
      <c r="BN663" s="81">
        <f t="shared" ref="BN663:BN664" si="3093">IF(O663-BK663&gt;0,O663-BK663,0)</f>
        <v>0</v>
      </c>
      <c r="BO663" s="75">
        <f t="shared" ref="BO663:BO664" si="3094">IF(Q663-BM663&gt;0,Q663-BM663,0)</f>
        <v>0</v>
      </c>
      <c r="BP663" s="81">
        <f t="shared" ref="BP663:BP664" si="3095">IF(BN663+BO663&gt;0,BN663+BO663,0)</f>
        <v>0</v>
      </c>
      <c r="BQ663" s="81">
        <f t="shared" ref="BQ663:BQ664" si="3096">IF(U663=0,0,U663)</f>
        <v>0</v>
      </c>
      <c r="BR663" s="81">
        <f t="shared" ref="BR663:BR664" si="3097">IF(W663=0,0,W663)</f>
        <v>0</v>
      </c>
      <c r="BS663" s="81">
        <f t="shared" ref="BS663:BS664" si="3098">IF(BQ663+BR663&gt;0,BQ663+BR663,0)</f>
        <v>0</v>
      </c>
      <c r="BT663" s="81">
        <f t="shared" ref="BT663:BT664" si="3099">IF(V663&gt;0,V663,0)</f>
        <v>0</v>
      </c>
      <c r="BU663" s="81">
        <f t="shared" ref="BU663:BU664" si="3100">IF(BP663=0,0,BP663)</f>
        <v>0</v>
      </c>
      <c r="BV663" s="81">
        <f t="shared" ref="BV663:BV664" si="3101">IF(BS663=0,0,BS663)</f>
        <v>0</v>
      </c>
      <c r="BW663" s="81">
        <f t="shared" ref="BW663:BW664" si="3102">IF(BP663+BT663+BV663&gt;0,BP663+BT663+BV663,0)</f>
        <v>0</v>
      </c>
      <c r="BX663" s="1"/>
      <c r="BY663" s="1"/>
      <c r="BZ663" s="1"/>
      <c r="CA663" s="1"/>
      <c r="CB663" s="1"/>
      <c r="CC663" s="1"/>
      <c r="CD663" s="1"/>
      <c r="CE663" s="1"/>
      <c r="CF663" s="1"/>
      <c r="CG663" s="1"/>
    </row>
    <row r="664" spans="1:85" ht="15.75" customHeight="1">
      <c r="A664" s="108"/>
      <c r="B664" s="115"/>
      <c r="C664" s="86" t="s">
        <v>1016</v>
      </c>
      <c r="D664" s="292" t="s">
        <v>1017</v>
      </c>
      <c r="E664" s="163"/>
      <c r="F664" s="164"/>
      <c r="G664" s="71">
        <f t="shared" si="3086"/>
        <v>0</v>
      </c>
      <c r="H664" s="196">
        <v>20000</v>
      </c>
      <c r="I664" s="72">
        <f t="shared" si="2631"/>
        <v>0</v>
      </c>
      <c r="J664" s="72">
        <f t="shared" si="2632"/>
        <v>0</v>
      </c>
      <c r="K664" s="76"/>
      <c r="L664" s="75"/>
      <c r="M664" s="81"/>
      <c r="N664" s="88"/>
      <c r="O664" s="77">
        <f t="shared" ref="O664:Q664" si="3103">AA664+AD664+AG664+AJ664+AM664+AP664+AS664+AV664+AY664+BB664+BE664+BH664</f>
        <v>0</v>
      </c>
      <c r="P664" s="77">
        <f t="shared" si="3103"/>
        <v>0</v>
      </c>
      <c r="Q664" s="77">
        <f t="shared" si="3103"/>
        <v>0</v>
      </c>
      <c r="R664" s="77">
        <f t="shared" ref="R664:T664" si="3104">IF(BK664=0,SUM(AA664+AD664+AG664+AJ664+AM664+AP664+AS664+AV664+AY664+BB664+BE664+BH664),BK664)</f>
        <v>0</v>
      </c>
      <c r="S664" s="77">
        <f t="shared" si="3104"/>
        <v>0</v>
      </c>
      <c r="T664" s="77">
        <f t="shared" si="3104"/>
        <v>0</v>
      </c>
      <c r="U664" s="79">
        <f t="shared" si="3089"/>
        <v>0</v>
      </c>
      <c r="V664" s="79">
        <f t="shared" si="3090"/>
        <v>0</v>
      </c>
      <c r="W664" s="79">
        <f t="shared" si="3091"/>
        <v>0</v>
      </c>
      <c r="X664" s="80">
        <f t="shared" ref="X664:Y664" si="3105">IF(O664&gt;0,O664/K664,0)</f>
        <v>0</v>
      </c>
      <c r="Y664" s="80">
        <f t="shared" si="3105"/>
        <v>0</v>
      </c>
      <c r="Z664" s="80">
        <f t="shared" si="2391"/>
        <v>0</v>
      </c>
      <c r="AA664" s="81"/>
      <c r="AB664" s="81"/>
      <c r="AC664" s="81"/>
      <c r="AD664" s="81"/>
      <c r="AE664" s="83"/>
      <c r="AF664" s="83"/>
      <c r="AG664" s="83"/>
      <c r="AH664" s="83"/>
      <c r="AI664" s="81"/>
      <c r="AJ664" s="81"/>
      <c r="AK664" s="81"/>
      <c r="AL664" s="81"/>
      <c r="AM664" s="81"/>
      <c r="AN664" s="81"/>
      <c r="AO664" s="81"/>
      <c r="AP664" s="81"/>
      <c r="AQ664" s="81"/>
      <c r="AR664" s="81"/>
      <c r="AS664" s="81"/>
      <c r="AT664" s="81"/>
      <c r="AU664" s="81"/>
      <c r="AV664" s="81"/>
      <c r="AW664" s="81"/>
      <c r="AX664" s="81"/>
      <c r="AY664" s="81"/>
      <c r="AZ664" s="81"/>
      <c r="BA664" s="81"/>
      <c r="BB664" s="81"/>
      <c r="BC664" s="81"/>
      <c r="BD664" s="81"/>
      <c r="BE664" s="81"/>
      <c r="BF664" s="81"/>
      <c r="BG664" s="81"/>
      <c r="BH664" s="81"/>
      <c r="BI664" s="81"/>
      <c r="BJ664" s="81"/>
      <c r="BK664" s="82">
        <v>0</v>
      </c>
      <c r="BL664" s="82">
        <v>0</v>
      </c>
      <c r="BM664" s="82">
        <v>0</v>
      </c>
      <c r="BN664" s="81">
        <f t="shared" si="3093"/>
        <v>0</v>
      </c>
      <c r="BO664" s="75">
        <f t="shared" si="3094"/>
        <v>0</v>
      </c>
      <c r="BP664" s="81">
        <f t="shared" si="3095"/>
        <v>0</v>
      </c>
      <c r="BQ664" s="81">
        <f t="shared" si="3096"/>
        <v>0</v>
      </c>
      <c r="BR664" s="81">
        <f t="shared" si="3097"/>
        <v>0</v>
      </c>
      <c r="BS664" s="81">
        <f t="shared" si="3098"/>
        <v>0</v>
      </c>
      <c r="BT664" s="81">
        <f t="shared" si="3099"/>
        <v>0</v>
      </c>
      <c r="BU664" s="81">
        <f t="shared" si="3100"/>
        <v>0</v>
      </c>
      <c r="BV664" s="81">
        <f t="shared" si="3101"/>
        <v>0</v>
      </c>
      <c r="BW664" s="81">
        <f t="shared" si="3102"/>
        <v>0</v>
      </c>
      <c r="BX664" s="1"/>
      <c r="BY664" s="1"/>
      <c r="BZ664" s="1"/>
      <c r="CA664" s="1"/>
      <c r="CB664" s="1"/>
      <c r="CC664" s="1"/>
      <c r="CD664" s="1"/>
      <c r="CE664" s="1"/>
      <c r="CF664" s="1"/>
      <c r="CG664" s="1"/>
    </row>
    <row r="665" spans="1:85" ht="15.75">
      <c r="A665" s="109"/>
      <c r="B665" s="110"/>
      <c r="C665" s="111"/>
      <c r="D665" s="112" t="s">
        <v>224</v>
      </c>
      <c r="E665" s="58">
        <f t="shared" ref="E665:H665" si="3106">SUM(E666)</f>
        <v>0</v>
      </c>
      <c r="F665" s="58">
        <f t="shared" si="3106"/>
        <v>0</v>
      </c>
      <c r="G665" s="58">
        <f t="shared" si="3106"/>
        <v>0</v>
      </c>
      <c r="H665" s="58">
        <f t="shared" si="3106"/>
        <v>100000</v>
      </c>
      <c r="I665" s="60">
        <f t="shared" si="2631"/>
        <v>0</v>
      </c>
      <c r="J665" s="60">
        <f t="shared" si="2632"/>
        <v>0</v>
      </c>
      <c r="K665" s="58">
        <f t="shared" ref="K665:W665" si="3107">SUM(K666)</f>
        <v>0</v>
      </c>
      <c r="L665" s="58">
        <f t="shared" si="3107"/>
        <v>0</v>
      </c>
      <c r="M665" s="58">
        <f t="shared" si="3107"/>
        <v>0</v>
      </c>
      <c r="N665" s="58">
        <f t="shared" si="3107"/>
        <v>0</v>
      </c>
      <c r="O665" s="58">
        <f t="shared" si="3107"/>
        <v>0</v>
      </c>
      <c r="P665" s="58">
        <f t="shared" si="3107"/>
        <v>0</v>
      </c>
      <c r="Q665" s="58">
        <f t="shared" si="3107"/>
        <v>0</v>
      </c>
      <c r="R665" s="58">
        <f t="shared" si="3107"/>
        <v>0</v>
      </c>
      <c r="S665" s="58">
        <f t="shared" si="3107"/>
        <v>0</v>
      </c>
      <c r="T665" s="58">
        <f t="shared" si="3107"/>
        <v>0</v>
      </c>
      <c r="U665" s="58">
        <f t="shared" si="3107"/>
        <v>0</v>
      </c>
      <c r="V665" s="58">
        <f t="shared" si="3107"/>
        <v>0</v>
      </c>
      <c r="W665" s="58">
        <f t="shared" si="3107"/>
        <v>0</v>
      </c>
      <c r="X665" s="63">
        <f t="shared" ref="X665:Y665" si="3108">IF(O665&gt;0,O665/K665,0)</f>
        <v>0</v>
      </c>
      <c r="Y665" s="63">
        <f t="shared" si="3108"/>
        <v>0</v>
      </c>
      <c r="Z665" s="63">
        <f t="shared" si="2391"/>
        <v>0</v>
      </c>
      <c r="AA665" s="58">
        <f t="shared" ref="AA665:BW665" si="3109">SUM(AA666)</f>
        <v>0</v>
      </c>
      <c r="AB665" s="58">
        <f t="shared" si="3109"/>
        <v>0</v>
      </c>
      <c r="AC665" s="58">
        <f t="shared" si="3109"/>
        <v>0</v>
      </c>
      <c r="AD665" s="58">
        <f t="shared" si="3109"/>
        <v>0</v>
      </c>
      <c r="AE665" s="58">
        <f t="shared" si="3109"/>
        <v>0</v>
      </c>
      <c r="AF665" s="58">
        <f t="shared" si="3109"/>
        <v>0</v>
      </c>
      <c r="AG665" s="58">
        <f t="shared" si="3109"/>
        <v>0</v>
      </c>
      <c r="AH665" s="58">
        <f t="shared" si="3109"/>
        <v>0</v>
      </c>
      <c r="AI665" s="58">
        <f t="shared" si="3109"/>
        <v>0</v>
      </c>
      <c r="AJ665" s="58">
        <f t="shared" si="3109"/>
        <v>0</v>
      </c>
      <c r="AK665" s="58">
        <f t="shared" si="3109"/>
        <v>0</v>
      </c>
      <c r="AL665" s="58">
        <f t="shared" si="3109"/>
        <v>0</v>
      </c>
      <c r="AM665" s="58">
        <f t="shared" si="3109"/>
        <v>0</v>
      </c>
      <c r="AN665" s="58">
        <f t="shared" si="3109"/>
        <v>0</v>
      </c>
      <c r="AO665" s="58">
        <f t="shared" si="3109"/>
        <v>0</v>
      </c>
      <c r="AP665" s="58">
        <f t="shared" si="3109"/>
        <v>0</v>
      </c>
      <c r="AQ665" s="58">
        <f t="shared" si="3109"/>
        <v>0</v>
      </c>
      <c r="AR665" s="58">
        <f t="shared" si="3109"/>
        <v>0</v>
      </c>
      <c r="AS665" s="58">
        <f t="shared" si="3109"/>
        <v>0</v>
      </c>
      <c r="AT665" s="58">
        <f t="shared" si="3109"/>
        <v>0</v>
      </c>
      <c r="AU665" s="58">
        <f t="shared" si="3109"/>
        <v>0</v>
      </c>
      <c r="AV665" s="58">
        <f t="shared" si="3109"/>
        <v>0</v>
      </c>
      <c r="AW665" s="58">
        <f t="shared" si="3109"/>
        <v>0</v>
      </c>
      <c r="AX665" s="58">
        <f t="shared" si="3109"/>
        <v>0</v>
      </c>
      <c r="AY665" s="58">
        <f t="shared" si="3109"/>
        <v>0</v>
      </c>
      <c r="AZ665" s="58">
        <f t="shared" si="3109"/>
        <v>0</v>
      </c>
      <c r="BA665" s="58">
        <f t="shared" si="3109"/>
        <v>0</v>
      </c>
      <c r="BB665" s="58">
        <f t="shared" si="3109"/>
        <v>0</v>
      </c>
      <c r="BC665" s="58">
        <f t="shared" si="3109"/>
        <v>0</v>
      </c>
      <c r="BD665" s="58">
        <f t="shared" si="3109"/>
        <v>0</v>
      </c>
      <c r="BE665" s="58">
        <f t="shared" si="3109"/>
        <v>0</v>
      </c>
      <c r="BF665" s="58">
        <f t="shared" si="3109"/>
        <v>0</v>
      </c>
      <c r="BG665" s="58">
        <f t="shared" si="3109"/>
        <v>0</v>
      </c>
      <c r="BH665" s="58">
        <f t="shared" si="3109"/>
        <v>0</v>
      </c>
      <c r="BI665" s="58">
        <f t="shared" si="3109"/>
        <v>0</v>
      </c>
      <c r="BJ665" s="58">
        <f t="shared" si="3109"/>
        <v>0</v>
      </c>
      <c r="BK665" s="58">
        <f t="shared" si="3109"/>
        <v>0</v>
      </c>
      <c r="BL665" s="58">
        <f t="shared" si="3109"/>
        <v>0</v>
      </c>
      <c r="BM665" s="58">
        <f t="shared" si="3109"/>
        <v>0</v>
      </c>
      <c r="BN665" s="58">
        <f t="shared" si="3109"/>
        <v>0</v>
      </c>
      <c r="BO665" s="58">
        <f t="shared" si="3109"/>
        <v>0</v>
      </c>
      <c r="BP665" s="58">
        <f t="shared" si="3109"/>
        <v>0</v>
      </c>
      <c r="BQ665" s="58">
        <f t="shared" si="3109"/>
        <v>0</v>
      </c>
      <c r="BR665" s="58">
        <f t="shared" si="3109"/>
        <v>0</v>
      </c>
      <c r="BS665" s="58">
        <f t="shared" si="3109"/>
        <v>0</v>
      </c>
      <c r="BT665" s="58">
        <f t="shared" si="3109"/>
        <v>0</v>
      </c>
      <c r="BU665" s="58">
        <f t="shared" si="3109"/>
        <v>0</v>
      </c>
      <c r="BV665" s="58">
        <f t="shared" si="3109"/>
        <v>0</v>
      </c>
      <c r="BW665" s="58">
        <f t="shared" si="3109"/>
        <v>0</v>
      </c>
      <c r="BX665" s="65"/>
      <c r="BY665" s="65"/>
      <c r="BZ665" s="65"/>
      <c r="CA665" s="65"/>
      <c r="CB665" s="65"/>
      <c r="CC665" s="65"/>
      <c r="CD665" s="65"/>
      <c r="CE665" s="65"/>
      <c r="CF665" s="65"/>
      <c r="CG665" s="65"/>
    </row>
    <row r="666" spans="1:85" ht="15.75" customHeight="1">
      <c r="A666" s="134"/>
      <c r="B666" s="132"/>
      <c r="C666" s="86" t="s">
        <v>225</v>
      </c>
      <c r="D666" s="292" t="s">
        <v>1018</v>
      </c>
      <c r="E666" s="70"/>
      <c r="F666" s="71"/>
      <c r="G666" s="71">
        <f>E666-F666</f>
        <v>0</v>
      </c>
      <c r="H666" s="196">
        <v>100000</v>
      </c>
      <c r="I666" s="72">
        <f t="shared" si="2631"/>
        <v>0</v>
      </c>
      <c r="J666" s="72">
        <f t="shared" si="2632"/>
        <v>0</v>
      </c>
      <c r="K666" s="94"/>
      <c r="L666" s="75"/>
      <c r="M666" s="81"/>
      <c r="N666" s="88"/>
      <c r="O666" s="77">
        <f t="shared" ref="O666:Q666" si="3110">AA666+AD666+AG666+AJ666+AM666+AP666+AS666+AV666+AY666+BB666+BE666+BH666</f>
        <v>0</v>
      </c>
      <c r="P666" s="77">
        <f t="shared" si="3110"/>
        <v>0</v>
      </c>
      <c r="Q666" s="77">
        <f t="shared" si="3110"/>
        <v>0</v>
      </c>
      <c r="R666" s="77">
        <f t="shared" ref="R666:T666" si="3111">IF(BK666=0,SUM(AA666+AD666+AG666+AJ666+AM666+AP666+AS666+AV666+AY666+BB666+BE666+BH666),BK666)</f>
        <v>0</v>
      </c>
      <c r="S666" s="77">
        <f t="shared" si="3111"/>
        <v>0</v>
      </c>
      <c r="T666" s="77">
        <f t="shared" si="3111"/>
        <v>0</v>
      </c>
      <c r="U666" s="79">
        <f>K666-O666</f>
        <v>0</v>
      </c>
      <c r="V666" s="79">
        <f>L666-M666-S666</f>
        <v>0</v>
      </c>
      <c r="W666" s="79">
        <f>N666-Q666</f>
        <v>0</v>
      </c>
      <c r="X666" s="80">
        <f t="shared" ref="X666:Y666" si="3112">IF(O666&gt;0,O666/K666,0)</f>
        <v>0</v>
      </c>
      <c r="Y666" s="80">
        <f t="shared" si="3112"/>
        <v>0</v>
      </c>
      <c r="Z666" s="80">
        <f t="shared" si="2391"/>
        <v>0</v>
      </c>
      <c r="AA666" s="81"/>
      <c r="AB666" s="82"/>
      <c r="AC666" s="81"/>
      <c r="AD666" s="81"/>
      <c r="AE666" s="83"/>
      <c r="AF666" s="83"/>
      <c r="AG666" s="128"/>
      <c r="AH666" s="83"/>
      <c r="AI666" s="81"/>
      <c r="AJ666" s="81"/>
      <c r="AK666" s="81"/>
      <c r="AL666" s="81"/>
      <c r="AM666" s="81"/>
      <c r="AN666" s="81"/>
      <c r="AO666" s="81"/>
      <c r="AP666" s="81"/>
      <c r="AQ666" s="81"/>
      <c r="AR666" s="81"/>
      <c r="AS666" s="81"/>
      <c r="AT666" s="81"/>
      <c r="AU666" s="81"/>
      <c r="AV666" s="81"/>
      <c r="AW666" s="81"/>
      <c r="AX666" s="81"/>
      <c r="AY666" s="81"/>
      <c r="AZ666" s="81"/>
      <c r="BA666" s="81"/>
      <c r="BB666" s="81"/>
      <c r="BC666" s="81"/>
      <c r="BD666" s="81"/>
      <c r="BE666" s="81"/>
      <c r="BF666" s="81"/>
      <c r="BG666" s="81"/>
      <c r="BH666" s="81"/>
      <c r="BI666" s="81"/>
      <c r="BJ666" s="81"/>
      <c r="BK666" s="82">
        <v>0</v>
      </c>
      <c r="BL666" s="82">
        <v>0</v>
      </c>
      <c r="BM666" s="82">
        <v>0</v>
      </c>
      <c r="BN666" s="81">
        <f>IF(O666-BK666&gt;0,O666-BK666,0)</f>
        <v>0</v>
      </c>
      <c r="BO666" s="75">
        <f>IF(Q666-BM666&gt;0,Q666-BM666,0)</f>
        <v>0</v>
      </c>
      <c r="BP666" s="81">
        <f>IF(BN666+BO666&gt;0,BN666+BO666,0)</f>
        <v>0</v>
      </c>
      <c r="BQ666" s="81">
        <f>IF(U666=0,0,U666)</f>
        <v>0</v>
      </c>
      <c r="BR666" s="81">
        <f>IF(W666=0,0,W666)</f>
        <v>0</v>
      </c>
      <c r="BS666" s="81">
        <f>IF(BQ666+BR666&gt;0,BQ666+BR666,0)</f>
        <v>0</v>
      </c>
      <c r="BT666" s="81">
        <f>IF(V666&gt;0,V666,0)</f>
        <v>0</v>
      </c>
      <c r="BU666" s="81">
        <f>IF(BP666=0,0,BP666)</f>
        <v>0</v>
      </c>
      <c r="BV666" s="81">
        <f>IF(BS666=0,0,BS666)</f>
        <v>0</v>
      </c>
      <c r="BW666" s="81">
        <f>IF(BP666+BT666+BV666&gt;0,BP666+BT666+BV666,0)</f>
        <v>0</v>
      </c>
      <c r="BX666" s="1"/>
      <c r="BY666" s="1"/>
      <c r="BZ666" s="1"/>
      <c r="CA666" s="1"/>
      <c r="CB666" s="1"/>
      <c r="CC666" s="1"/>
      <c r="CD666" s="1"/>
      <c r="CE666" s="1"/>
      <c r="CF666" s="1"/>
      <c r="CG666" s="1"/>
    </row>
    <row r="667" spans="1:85" ht="15.75">
      <c r="A667" s="109"/>
      <c r="B667" s="110"/>
      <c r="C667" s="111"/>
      <c r="D667" s="112" t="s">
        <v>1019</v>
      </c>
      <c r="E667" s="58">
        <f t="shared" ref="E667:H667" si="3113">SUM(E668:E669)</f>
        <v>0</v>
      </c>
      <c r="F667" s="58">
        <f t="shared" si="3113"/>
        <v>0</v>
      </c>
      <c r="G667" s="58">
        <f t="shared" si="3113"/>
        <v>0</v>
      </c>
      <c r="H667" s="58">
        <f t="shared" si="3113"/>
        <v>420000</v>
      </c>
      <c r="I667" s="60">
        <f t="shared" si="2631"/>
        <v>0</v>
      </c>
      <c r="J667" s="60">
        <f t="shared" si="2632"/>
        <v>0</v>
      </c>
      <c r="K667" s="59">
        <f t="shared" ref="K667:W667" si="3114">SUM(K668:K669)</f>
        <v>0</v>
      </c>
      <c r="L667" s="59">
        <f t="shared" si="3114"/>
        <v>0</v>
      </c>
      <c r="M667" s="59">
        <f t="shared" si="3114"/>
        <v>0</v>
      </c>
      <c r="N667" s="59">
        <f t="shared" si="3114"/>
        <v>0</v>
      </c>
      <c r="O667" s="59">
        <f t="shared" si="3114"/>
        <v>0</v>
      </c>
      <c r="P667" s="59">
        <f t="shared" si="3114"/>
        <v>0</v>
      </c>
      <c r="Q667" s="59">
        <f t="shared" si="3114"/>
        <v>0</v>
      </c>
      <c r="R667" s="59">
        <f t="shared" si="3114"/>
        <v>0</v>
      </c>
      <c r="S667" s="59">
        <f t="shared" si="3114"/>
        <v>0</v>
      </c>
      <c r="T667" s="59">
        <f t="shared" si="3114"/>
        <v>0</v>
      </c>
      <c r="U667" s="59">
        <f t="shared" si="3114"/>
        <v>0</v>
      </c>
      <c r="V667" s="59">
        <f t="shared" si="3114"/>
        <v>0</v>
      </c>
      <c r="W667" s="59">
        <f t="shared" si="3114"/>
        <v>0</v>
      </c>
      <c r="X667" s="63">
        <f t="shared" ref="X667:Y667" si="3115">IF(O667&gt;0,O667/K667,0)</f>
        <v>0</v>
      </c>
      <c r="Y667" s="63">
        <f t="shared" si="3115"/>
        <v>0</v>
      </c>
      <c r="Z667" s="63">
        <f t="shared" si="2391"/>
        <v>0</v>
      </c>
      <c r="AA667" s="59">
        <f t="shared" ref="AA667:BW667" si="3116">SUM(AA668:AA669)</f>
        <v>0</v>
      </c>
      <c r="AB667" s="59">
        <f t="shared" si="3116"/>
        <v>0</v>
      </c>
      <c r="AC667" s="59">
        <f t="shared" si="3116"/>
        <v>0</v>
      </c>
      <c r="AD667" s="59">
        <f t="shared" si="3116"/>
        <v>0</v>
      </c>
      <c r="AE667" s="59">
        <f t="shared" si="3116"/>
        <v>0</v>
      </c>
      <c r="AF667" s="59">
        <f t="shared" si="3116"/>
        <v>0</v>
      </c>
      <c r="AG667" s="59">
        <f t="shared" si="3116"/>
        <v>0</v>
      </c>
      <c r="AH667" s="59">
        <f t="shared" si="3116"/>
        <v>0</v>
      </c>
      <c r="AI667" s="59">
        <f t="shared" si="3116"/>
        <v>0</v>
      </c>
      <c r="AJ667" s="59">
        <f t="shared" si="3116"/>
        <v>0</v>
      </c>
      <c r="AK667" s="59">
        <f t="shared" si="3116"/>
        <v>0</v>
      </c>
      <c r="AL667" s="59">
        <f t="shared" si="3116"/>
        <v>0</v>
      </c>
      <c r="AM667" s="59">
        <f t="shared" si="3116"/>
        <v>0</v>
      </c>
      <c r="AN667" s="59">
        <f t="shared" si="3116"/>
        <v>0</v>
      </c>
      <c r="AO667" s="59">
        <f t="shared" si="3116"/>
        <v>0</v>
      </c>
      <c r="AP667" s="59">
        <f t="shared" si="3116"/>
        <v>0</v>
      </c>
      <c r="AQ667" s="59">
        <f t="shared" si="3116"/>
        <v>0</v>
      </c>
      <c r="AR667" s="59">
        <f t="shared" si="3116"/>
        <v>0</v>
      </c>
      <c r="AS667" s="59">
        <f t="shared" si="3116"/>
        <v>0</v>
      </c>
      <c r="AT667" s="59">
        <f t="shared" si="3116"/>
        <v>0</v>
      </c>
      <c r="AU667" s="59">
        <f t="shared" si="3116"/>
        <v>0</v>
      </c>
      <c r="AV667" s="59">
        <f t="shared" si="3116"/>
        <v>0</v>
      </c>
      <c r="AW667" s="59">
        <f t="shared" si="3116"/>
        <v>0</v>
      </c>
      <c r="AX667" s="59">
        <f t="shared" si="3116"/>
        <v>0</v>
      </c>
      <c r="AY667" s="59">
        <f t="shared" si="3116"/>
        <v>0</v>
      </c>
      <c r="AZ667" s="59">
        <f t="shared" si="3116"/>
        <v>0</v>
      </c>
      <c r="BA667" s="59">
        <f t="shared" si="3116"/>
        <v>0</v>
      </c>
      <c r="BB667" s="59">
        <f t="shared" si="3116"/>
        <v>0</v>
      </c>
      <c r="BC667" s="59">
        <f t="shared" si="3116"/>
        <v>0</v>
      </c>
      <c r="BD667" s="59">
        <f t="shared" si="3116"/>
        <v>0</v>
      </c>
      <c r="BE667" s="59">
        <f t="shared" si="3116"/>
        <v>0</v>
      </c>
      <c r="BF667" s="59">
        <f t="shared" si="3116"/>
        <v>0</v>
      </c>
      <c r="BG667" s="59">
        <f t="shared" si="3116"/>
        <v>0</v>
      </c>
      <c r="BH667" s="59">
        <f t="shared" si="3116"/>
        <v>0</v>
      </c>
      <c r="BI667" s="59">
        <f t="shared" si="3116"/>
        <v>0</v>
      </c>
      <c r="BJ667" s="59">
        <f t="shared" si="3116"/>
        <v>0</v>
      </c>
      <c r="BK667" s="59">
        <f t="shared" si="3116"/>
        <v>0</v>
      </c>
      <c r="BL667" s="59">
        <f t="shared" si="3116"/>
        <v>0</v>
      </c>
      <c r="BM667" s="59">
        <f t="shared" si="3116"/>
        <v>0</v>
      </c>
      <c r="BN667" s="59">
        <f t="shared" si="3116"/>
        <v>0</v>
      </c>
      <c r="BO667" s="59">
        <f t="shared" si="3116"/>
        <v>0</v>
      </c>
      <c r="BP667" s="59">
        <f t="shared" si="3116"/>
        <v>0</v>
      </c>
      <c r="BQ667" s="59">
        <f t="shared" si="3116"/>
        <v>0</v>
      </c>
      <c r="BR667" s="59">
        <f t="shared" si="3116"/>
        <v>0</v>
      </c>
      <c r="BS667" s="59">
        <f t="shared" si="3116"/>
        <v>0</v>
      </c>
      <c r="BT667" s="59">
        <f t="shared" si="3116"/>
        <v>0</v>
      </c>
      <c r="BU667" s="59">
        <f t="shared" si="3116"/>
        <v>0</v>
      </c>
      <c r="BV667" s="59">
        <f t="shared" si="3116"/>
        <v>0</v>
      </c>
      <c r="BW667" s="59">
        <f t="shared" si="3116"/>
        <v>0</v>
      </c>
      <c r="BX667" s="65"/>
      <c r="BY667" s="65"/>
      <c r="BZ667" s="65"/>
      <c r="CA667" s="65"/>
      <c r="CB667" s="65"/>
      <c r="CC667" s="65"/>
      <c r="CD667" s="65"/>
      <c r="CE667" s="65"/>
      <c r="CF667" s="65"/>
      <c r="CG667" s="65"/>
    </row>
    <row r="668" spans="1:85" ht="15.75" customHeight="1">
      <c r="A668" s="113"/>
      <c r="B668" s="115"/>
      <c r="C668" s="86" t="s">
        <v>363</v>
      </c>
      <c r="D668" s="87" t="s">
        <v>1020</v>
      </c>
      <c r="E668" s="163"/>
      <c r="F668" s="164"/>
      <c r="G668" s="71">
        <f t="shared" ref="G668:G669" si="3117">E668-F668</f>
        <v>0</v>
      </c>
      <c r="H668" s="196">
        <v>270000</v>
      </c>
      <c r="I668" s="72">
        <f t="shared" si="2631"/>
        <v>0</v>
      </c>
      <c r="J668" s="72">
        <f t="shared" si="2632"/>
        <v>0</v>
      </c>
      <c r="K668" s="76"/>
      <c r="L668" s="75"/>
      <c r="M668" s="75"/>
      <c r="N668" s="76"/>
      <c r="O668" s="77">
        <f t="shared" ref="O668:Q668" si="3118">AA668+AD668+AG668+AJ668+AM668+AP668+AS668+AV668+AY668+BB668+BE668+BH668</f>
        <v>0</v>
      </c>
      <c r="P668" s="77">
        <f t="shared" si="3118"/>
        <v>0</v>
      </c>
      <c r="Q668" s="77">
        <f t="shared" si="3118"/>
        <v>0</v>
      </c>
      <c r="R668" s="77">
        <f t="shared" ref="R668:T668" si="3119">IF(BK668=0,SUM(AA668+AD668+AG668+AJ668+AM668+AP668+AS668+AV668+AY668+BB668+BE668+BH668),BK668)</f>
        <v>0</v>
      </c>
      <c r="S668" s="77">
        <f t="shared" si="3119"/>
        <v>0</v>
      </c>
      <c r="T668" s="77">
        <f t="shared" si="3119"/>
        <v>0</v>
      </c>
      <c r="U668" s="79">
        <f t="shared" ref="U668:U669" si="3120">K668-O668</f>
        <v>0</v>
      </c>
      <c r="V668" s="79">
        <f t="shared" ref="V668:V669" si="3121">L668-M668-S668</f>
        <v>0</v>
      </c>
      <c r="W668" s="79">
        <f t="shared" ref="W668:W669" si="3122">N668-Q668</f>
        <v>0</v>
      </c>
      <c r="X668" s="80">
        <f t="shared" ref="X668:Y668" si="3123">IF(O668&gt;0,O668/K668,0)</f>
        <v>0</v>
      </c>
      <c r="Y668" s="80">
        <f t="shared" si="3123"/>
        <v>0</v>
      </c>
      <c r="Z668" s="80">
        <f t="shared" si="2391"/>
        <v>0</v>
      </c>
      <c r="AA668" s="81"/>
      <c r="AB668" s="81"/>
      <c r="AC668" s="81"/>
      <c r="AD668" s="81"/>
      <c r="AE668" s="83"/>
      <c r="AF668" s="83"/>
      <c r="AG668" s="83"/>
      <c r="AH668" s="83"/>
      <c r="AI668" s="81"/>
      <c r="AJ668" s="81"/>
      <c r="AK668" s="81"/>
      <c r="AL668" s="81"/>
      <c r="AM668" s="81"/>
      <c r="AN668" s="81"/>
      <c r="AO668" s="81"/>
      <c r="AP668" s="81"/>
      <c r="AQ668" s="81"/>
      <c r="AR668" s="81"/>
      <c r="AS668" s="81"/>
      <c r="AT668" s="81"/>
      <c r="AU668" s="81"/>
      <c r="AV668" s="81"/>
      <c r="AW668" s="81"/>
      <c r="AX668" s="81"/>
      <c r="AY668" s="81"/>
      <c r="AZ668" s="81"/>
      <c r="BA668" s="81"/>
      <c r="BB668" s="81"/>
      <c r="BC668" s="81"/>
      <c r="BD668" s="81"/>
      <c r="BE668" s="81"/>
      <c r="BF668" s="81"/>
      <c r="BG668" s="81"/>
      <c r="BH668" s="81"/>
      <c r="BI668" s="81"/>
      <c r="BJ668" s="81"/>
      <c r="BK668" s="82">
        <v>0</v>
      </c>
      <c r="BL668" s="82">
        <v>0</v>
      </c>
      <c r="BM668" s="82">
        <v>0</v>
      </c>
      <c r="BN668" s="81">
        <f t="shared" ref="BN668:BN669" si="3124">IF(O668-BK668&gt;0,O668-BK668,0)</f>
        <v>0</v>
      </c>
      <c r="BO668" s="75">
        <f t="shared" ref="BO668:BO669" si="3125">IF(Q668-BM668&gt;0,Q668-BM668,0)</f>
        <v>0</v>
      </c>
      <c r="BP668" s="81">
        <f t="shared" ref="BP668:BP669" si="3126">IF(BN668+BO668&gt;0,BN668+BO668,0)</f>
        <v>0</v>
      </c>
      <c r="BQ668" s="81">
        <f t="shared" ref="BQ668:BQ669" si="3127">IF(U668=0,0,U668)</f>
        <v>0</v>
      </c>
      <c r="BR668" s="81">
        <f t="shared" ref="BR668:BR669" si="3128">IF(W668=0,0,W668)</f>
        <v>0</v>
      </c>
      <c r="BS668" s="81">
        <f t="shared" ref="BS668:BS669" si="3129">IF(BQ668+BR668&gt;0,BQ668+BR668,0)</f>
        <v>0</v>
      </c>
      <c r="BT668" s="81">
        <f t="shared" ref="BT668:BT669" si="3130">IF(V668&gt;0,V668,0)</f>
        <v>0</v>
      </c>
      <c r="BU668" s="81">
        <f t="shared" ref="BU668:BU669" si="3131">IF(BP668=0,0,BP668)</f>
        <v>0</v>
      </c>
      <c r="BV668" s="81">
        <f t="shared" ref="BV668:BV669" si="3132">IF(BS668=0,0,BS668)</f>
        <v>0</v>
      </c>
      <c r="BW668" s="81">
        <f t="shared" ref="BW668:BW669" si="3133">IF(BP668+BT668+BV668&gt;0,BP668+BT668+BV668,0)</f>
        <v>0</v>
      </c>
      <c r="BX668" s="1"/>
      <c r="BY668" s="1"/>
      <c r="BZ668" s="1"/>
      <c r="CA668" s="1"/>
      <c r="CB668" s="1"/>
      <c r="CC668" s="1"/>
      <c r="CD668" s="1"/>
      <c r="CE668" s="1"/>
      <c r="CF668" s="1"/>
      <c r="CG668" s="1"/>
    </row>
    <row r="669" spans="1:85" ht="15.75" customHeight="1">
      <c r="A669" s="84"/>
      <c r="B669" s="115"/>
      <c r="C669" s="86" t="s">
        <v>392</v>
      </c>
      <c r="D669" s="87" t="s">
        <v>1021</v>
      </c>
      <c r="E669" s="70"/>
      <c r="F669" s="71"/>
      <c r="G669" s="71">
        <f t="shared" si="3117"/>
        <v>0</v>
      </c>
      <c r="H669" s="196">
        <v>150000</v>
      </c>
      <c r="I669" s="72">
        <f t="shared" si="2631"/>
        <v>0</v>
      </c>
      <c r="J669" s="72">
        <f t="shared" si="2632"/>
        <v>0</v>
      </c>
      <c r="K669" s="76"/>
      <c r="L669" s="75"/>
      <c r="M669" s="75"/>
      <c r="N669" s="76"/>
      <c r="O669" s="77">
        <f t="shared" ref="O669:Q669" si="3134">AA669+AD669+AG669+AJ669+AM669+AP669+AS669+AV669+AY669+BB669+BE669+BH669</f>
        <v>0</v>
      </c>
      <c r="P669" s="77">
        <f t="shared" si="3134"/>
        <v>0</v>
      </c>
      <c r="Q669" s="77">
        <f t="shared" si="3134"/>
        <v>0</v>
      </c>
      <c r="R669" s="77">
        <f t="shared" ref="R669:T669" si="3135">IF(BK669=0,SUM(AA669+AD669+AG669+AJ669+AM669+AP669+AS669+AV669+AY669+BB669+BE669+BH669),BK669)</f>
        <v>0</v>
      </c>
      <c r="S669" s="77">
        <f t="shared" si="3135"/>
        <v>0</v>
      </c>
      <c r="T669" s="77">
        <f t="shared" si="3135"/>
        <v>0</v>
      </c>
      <c r="U669" s="79">
        <f t="shared" si="3120"/>
        <v>0</v>
      </c>
      <c r="V669" s="79">
        <f t="shared" si="3121"/>
        <v>0</v>
      </c>
      <c r="W669" s="79">
        <f t="shared" si="3122"/>
        <v>0</v>
      </c>
      <c r="X669" s="80">
        <f t="shared" ref="X669:Y669" si="3136">IF(O669&gt;0,O669/K669,0)</f>
        <v>0</v>
      </c>
      <c r="Y669" s="80">
        <f t="shared" si="3136"/>
        <v>0</v>
      </c>
      <c r="Z669" s="80">
        <f t="shared" si="2391"/>
        <v>0</v>
      </c>
      <c r="AA669" s="81"/>
      <c r="AB669" s="81"/>
      <c r="AC669" s="81"/>
      <c r="AD669" s="81"/>
      <c r="AE669" s="83"/>
      <c r="AF669" s="83"/>
      <c r="AG669" s="83"/>
      <c r="AH669" s="83"/>
      <c r="AI669" s="81"/>
      <c r="AJ669" s="81"/>
      <c r="AK669" s="81"/>
      <c r="AL669" s="81"/>
      <c r="AM669" s="81"/>
      <c r="AN669" s="81"/>
      <c r="AO669" s="81"/>
      <c r="AP669" s="81"/>
      <c r="AQ669" s="81"/>
      <c r="AR669" s="81"/>
      <c r="AS669" s="81"/>
      <c r="AT669" s="81"/>
      <c r="AU669" s="81"/>
      <c r="AV669" s="81"/>
      <c r="AW669" s="81"/>
      <c r="AX669" s="81"/>
      <c r="AY669" s="81"/>
      <c r="AZ669" s="81"/>
      <c r="BA669" s="81"/>
      <c r="BB669" s="81"/>
      <c r="BC669" s="81"/>
      <c r="BD669" s="81"/>
      <c r="BE669" s="81"/>
      <c r="BF669" s="81"/>
      <c r="BG669" s="81"/>
      <c r="BH669" s="81"/>
      <c r="BI669" s="81"/>
      <c r="BJ669" s="81"/>
      <c r="BK669" s="82">
        <v>0</v>
      </c>
      <c r="BL669" s="82">
        <v>0</v>
      </c>
      <c r="BM669" s="82">
        <v>0</v>
      </c>
      <c r="BN669" s="81">
        <f t="shared" si="3124"/>
        <v>0</v>
      </c>
      <c r="BO669" s="75">
        <f t="shared" si="3125"/>
        <v>0</v>
      </c>
      <c r="BP669" s="81">
        <f t="shared" si="3126"/>
        <v>0</v>
      </c>
      <c r="BQ669" s="81">
        <f t="shared" si="3127"/>
        <v>0</v>
      </c>
      <c r="BR669" s="81">
        <f t="shared" si="3128"/>
        <v>0</v>
      </c>
      <c r="BS669" s="81">
        <f t="shared" si="3129"/>
        <v>0</v>
      </c>
      <c r="BT669" s="81">
        <f t="shared" si="3130"/>
        <v>0</v>
      </c>
      <c r="BU669" s="81">
        <f t="shared" si="3131"/>
        <v>0</v>
      </c>
      <c r="BV669" s="81">
        <f t="shared" si="3132"/>
        <v>0</v>
      </c>
      <c r="BW669" s="81">
        <f t="shared" si="3133"/>
        <v>0</v>
      </c>
      <c r="BX669" s="1"/>
      <c r="BY669" s="1"/>
      <c r="BZ669" s="1"/>
      <c r="CA669" s="1"/>
      <c r="CB669" s="1"/>
      <c r="CC669" s="1"/>
      <c r="CD669" s="1"/>
      <c r="CE669" s="1"/>
      <c r="CF669" s="1"/>
      <c r="CG669" s="1"/>
    </row>
    <row r="670" spans="1:85" ht="15.75">
      <c r="A670" s="109"/>
      <c r="B670" s="110"/>
      <c r="C670" s="111"/>
      <c r="D670" s="112" t="s">
        <v>1022</v>
      </c>
      <c r="E670" s="58">
        <f t="shared" ref="E670:H670" si="3137">SUM(E671:E684)</f>
        <v>0</v>
      </c>
      <c r="F670" s="58">
        <f t="shared" si="3137"/>
        <v>0</v>
      </c>
      <c r="G670" s="58">
        <f t="shared" si="3137"/>
        <v>0</v>
      </c>
      <c r="H670" s="58">
        <f t="shared" si="3137"/>
        <v>0</v>
      </c>
      <c r="I670" s="60">
        <f t="shared" si="2631"/>
        <v>0</v>
      </c>
      <c r="J670" s="60">
        <f t="shared" si="2632"/>
        <v>0</v>
      </c>
      <c r="K670" s="58">
        <f t="shared" ref="K670:W670" si="3138">SUM(K671:K684)</f>
        <v>0</v>
      </c>
      <c r="L670" s="58">
        <f t="shared" si="3138"/>
        <v>0</v>
      </c>
      <c r="M670" s="58">
        <f t="shared" si="3138"/>
        <v>0</v>
      </c>
      <c r="N670" s="58">
        <f t="shared" si="3138"/>
        <v>149130.4</v>
      </c>
      <c r="O670" s="58">
        <f t="shared" si="3138"/>
        <v>0</v>
      </c>
      <c r="P670" s="58">
        <f t="shared" si="3138"/>
        <v>0</v>
      </c>
      <c r="Q670" s="58">
        <f t="shared" si="3138"/>
        <v>0</v>
      </c>
      <c r="R670" s="58">
        <f t="shared" si="3138"/>
        <v>0</v>
      </c>
      <c r="S670" s="58">
        <f t="shared" si="3138"/>
        <v>0</v>
      </c>
      <c r="T670" s="58">
        <f t="shared" si="3138"/>
        <v>0</v>
      </c>
      <c r="U670" s="58">
        <f t="shared" si="3138"/>
        <v>0</v>
      </c>
      <c r="V670" s="58">
        <f t="shared" si="3138"/>
        <v>0</v>
      </c>
      <c r="W670" s="58">
        <f t="shared" si="3138"/>
        <v>149130.4</v>
      </c>
      <c r="X670" s="63">
        <f t="shared" ref="X670:Y670" si="3139">IF(O670&gt;0,O670/K670,0)</f>
        <v>0</v>
      </c>
      <c r="Y670" s="63">
        <f t="shared" si="3139"/>
        <v>0</v>
      </c>
      <c r="Z670" s="63">
        <f t="shared" si="2391"/>
        <v>0</v>
      </c>
      <c r="AA670" s="58">
        <f t="shared" ref="AA670:BW670" si="3140">SUM(AA671:AA684)</f>
        <v>0</v>
      </c>
      <c r="AB670" s="58">
        <f t="shared" si="3140"/>
        <v>0</v>
      </c>
      <c r="AC670" s="58">
        <f t="shared" si="3140"/>
        <v>0</v>
      </c>
      <c r="AD670" s="58">
        <f t="shared" si="3140"/>
        <v>0</v>
      </c>
      <c r="AE670" s="58">
        <f t="shared" si="3140"/>
        <v>0</v>
      </c>
      <c r="AF670" s="58">
        <f t="shared" si="3140"/>
        <v>0</v>
      </c>
      <c r="AG670" s="58">
        <f t="shared" si="3140"/>
        <v>0</v>
      </c>
      <c r="AH670" s="58">
        <f t="shared" si="3140"/>
        <v>0</v>
      </c>
      <c r="AI670" s="58">
        <f t="shared" si="3140"/>
        <v>0</v>
      </c>
      <c r="AJ670" s="58">
        <f t="shared" si="3140"/>
        <v>0</v>
      </c>
      <c r="AK670" s="58">
        <f t="shared" si="3140"/>
        <v>0</v>
      </c>
      <c r="AL670" s="58">
        <f t="shared" si="3140"/>
        <v>0</v>
      </c>
      <c r="AM670" s="58">
        <f t="shared" si="3140"/>
        <v>0</v>
      </c>
      <c r="AN670" s="58">
        <f t="shared" si="3140"/>
        <v>0</v>
      </c>
      <c r="AO670" s="58">
        <f t="shared" si="3140"/>
        <v>0</v>
      </c>
      <c r="AP670" s="58">
        <f t="shared" si="3140"/>
        <v>0</v>
      </c>
      <c r="AQ670" s="58">
        <f t="shared" si="3140"/>
        <v>0</v>
      </c>
      <c r="AR670" s="58">
        <f t="shared" si="3140"/>
        <v>0</v>
      </c>
      <c r="AS670" s="58">
        <f t="shared" si="3140"/>
        <v>0</v>
      </c>
      <c r="AT670" s="58">
        <f t="shared" si="3140"/>
        <v>0</v>
      </c>
      <c r="AU670" s="58">
        <f t="shared" si="3140"/>
        <v>0</v>
      </c>
      <c r="AV670" s="58">
        <f t="shared" si="3140"/>
        <v>0</v>
      </c>
      <c r="AW670" s="58">
        <f t="shared" si="3140"/>
        <v>0</v>
      </c>
      <c r="AX670" s="58">
        <f t="shared" si="3140"/>
        <v>0</v>
      </c>
      <c r="AY670" s="58">
        <f t="shared" si="3140"/>
        <v>0</v>
      </c>
      <c r="AZ670" s="58">
        <f t="shared" si="3140"/>
        <v>0</v>
      </c>
      <c r="BA670" s="58">
        <f t="shared" si="3140"/>
        <v>0</v>
      </c>
      <c r="BB670" s="58">
        <f t="shared" si="3140"/>
        <v>0</v>
      </c>
      <c r="BC670" s="58">
        <f t="shared" si="3140"/>
        <v>0</v>
      </c>
      <c r="BD670" s="58">
        <f t="shared" si="3140"/>
        <v>0</v>
      </c>
      <c r="BE670" s="58">
        <f t="shared" si="3140"/>
        <v>0</v>
      </c>
      <c r="BF670" s="58">
        <f t="shared" si="3140"/>
        <v>0</v>
      </c>
      <c r="BG670" s="58">
        <f t="shared" si="3140"/>
        <v>0</v>
      </c>
      <c r="BH670" s="58">
        <f t="shared" si="3140"/>
        <v>0</v>
      </c>
      <c r="BI670" s="58">
        <f t="shared" si="3140"/>
        <v>0</v>
      </c>
      <c r="BJ670" s="58">
        <f t="shared" si="3140"/>
        <v>0</v>
      </c>
      <c r="BK670" s="58">
        <f t="shared" si="3140"/>
        <v>0</v>
      </c>
      <c r="BL670" s="58">
        <f t="shared" si="3140"/>
        <v>0</v>
      </c>
      <c r="BM670" s="58">
        <f t="shared" si="3140"/>
        <v>0</v>
      </c>
      <c r="BN670" s="58">
        <f t="shared" si="3140"/>
        <v>0</v>
      </c>
      <c r="BO670" s="58">
        <f t="shared" si="3140"/>
        <v>0</v>
      </c>
      <c r="BP670" s="58">
        <f t="shared" si="3140"/>
        <v>0</v>
      </c>
      <c r="BQ670" s="58">
        <f t="shared" si="3140"/>
        <v>0</v>
      </c>
      <c r="BR670" s="58">
        <f t="shared" si="3140"/>
        <v>149130.4</v>
      </c>
      <c r="BS670" s="58">
        <f t="shared" si="3140"/>
        <v>149130.4</v>
      </c>
      <c r="BT670" s="58">
        <f t="shared" si="3140"/>
        <v>0</v>
      </c>
      <c r="BU670" s="58">
        <f t="shared" si="3140"/>
        <v>0</v>
      </c>
      <c r="BV670" s="58">
        <f t="shared" si="3140"/>
        <v>149130.4</v>
      </c>
      <c r="BW670" s="58">
        <f t="shared" si="3140"/>
        <v>149130.4</v>
      </c>
      <c r="BX670" s="65"/>
      <c r="BY670" s="65"/>
      <c r="BZ670" s="65"/>
      <c r="CA670" s="65"/>
      <c r="CB670" s="65"/>
      <c r="CC670" s="65"/>
      <c r="CD670" s="65"/>
      <c r="CE670" s="65"/>
      <c r="CF670" s="65"/>
      <c r="CG670" s="65"/>
    </row>
    <row r="671" spans="1:85" ht="15.75" customHeight="1">
      <c r="A671" s="176" t="s">
        <v>1023</v>
      </c>
      <c r="B671" s="132"/>
      <c r="C671" s="129" t="s">
        <v>1024</v>
      </c>
      <c r="D671" s="412" t="s">
        <v>1025</v>
      </c>
      <c r="E671" s="70"/>
      <c r="F671" s="71"/>
      <c r="G671" s="71">
        <f t="shared" ref="G671:G684" si="3141">E671-F671</f>
        <v>0</v>
      </c>
      <c r="H671" s="70"/>
      <c r="I671" s="72">
        <f t="shared" si="2631"/>
        <v>0</v>
      </c>
      <c r="J671" s="72">
        <f t="shared" si="2632"/>
        <v>0</v>
      </c>
      <c r="K671" s="76"/>
      <c r="L671" s="75"/>
      <c r="M671" s="75"/>
      <c r="N671" s="94">
        <v>20000</v>
      </c>
      <c r="O671" s="77">
        <f t="shared" ref="O671:Q671" si="3142">AA671+AD671+AG671+AJ671+AM671+AP671+AS671+AV671+AY671+BB671+BE671+BH671</f>
        <v>0</v>
      </c>
      <c r="P671" s="77">
        <f t="shared" si="3142"/>
        <v>0</v>
      </c>
      <c r="Q671" s="77">
        <f t="shared" si="3142"/>
        <v>0</v>
      </c>
      <c r="R671" s="77">
        <f t="shared" ref="R671:T671" si="3143">IF(BK671=0,SUM(AA671+AD671+AG671+AJ671+AM671+AP671+AS671+AV671+AY671+BB671+BE671+BH671),BK671)</f>
        <v>0</v>
      </c>
      <c r="S671" s="77">
        <f t="shared" si="3143"/>
        <v>0</v>
      </c>
      <c r="T671" s="77">
        <f t="shared" si="3143"/>
        <v>0</v>
      </c>
      <c r="U671" s="79">
        <f t="shared" ref="U671:U684" si="3144">K671-O671</f>
        <v>0</v>
      </c>
      <c r="V671" s="79">
        <f t="shared" ref="V671:V684" si="3145">L671-M671-S671</f>
        <v>0</v>
      </c>
      <c r="W671" s="78">
        <f t="shared" ref="W671:W684" si="3146">N671-Q671</f>
        <v>20000</v>
      </c>
      <c r="X671" s="80">
        <f t="shared" ref="X671:Y671" si="3147">IF(O671&gt;0,O671/K671,0)</f>
        <v>0</v>
      </c>
      <c r="Y671" s="80">
        <f t="shared" si="3147"/>
        <v>0</v>
      </c>
      <c r="Z671" s="80">
        <f t="shared" si="2391"/>
        <v>0</v>
      </c>
      <c r="AA671" s="81"/>
      <c r="AB671" s="81"/>
      <c r="AC671" s="81"/>
      <c r="AD671" s="81"/>
      <c r="AE671" s="83"/>
      <c r="AF671" s="83"/>
      <c r="AG671" s="83"/>
      <c r="AH671" s="83"/>
      <c r="AI671" s="81"/>
      <c r="AJ671" s="81"/>
      <c r="AK671" s="81"/>
      <c r="AL671" s="81"/>
      <c r="AM671" s="81"/>
      <c r="AN671" s="81"/>
      <c r="AO671" s="81"/>
      <c r="AP671" s="81"/>
      <c r="AQ671" s="81"/>
      <c r="AR671" s="81"/>
      <c r="AS671" s="81"/>
      <c r="AT671" s="81"/>
      <c r="AU671" s="81"/>
      <c r="AV671" s="81"/>
      <c r="AW671" s="81"/>
      <c r="AX671" s="81"/>
      <c r="AY671" s="81"/>
      <c r="AZ671" s="81"/>
      <c r="BA671" s="81"/>
      <c r="BB671" s="81"/>
      <c r="BC671" s="81"/>
      <c r="BD671" s="81"/>
      <c r="BE671" s="81"/>
      <c r="BF671" s="81"/>
      <c r="BG671" s="81"/>
      <c r="BH671" s="81"/>
      <c r="BI671" s="81"/>
      <c r="BJ671" s="82"/>
      <c r="BK671" s="82">
        <v>0</v>
      </c>
      <c r="BL671" s="82">
        <v>0</v>
      </c>
      <c r="BM671" s="82">
        <v>0</v>
      </c>
      <c r="BN671" s="81">
        <f t="shared" ref="BN671:BN684" si="3148">IF(O671-BK671&gt;0,O671-BK671,0)</f>
        <v>0</v>
      </c>
      <c r="BO671" s="75">
        <f t="shared" ref="BO671:BO684" si="3149">IF(Q671-BM671&gt;0,Q671-BM671,0)</f>
        <v>0</v>
      </c>
      <c r="BP671" s="81">
        <f t="shared" ref="BP671:BP684" si="3150">IF(BN671+BO671&gt;0,BN671+BO671,0)</f>
        <v>0</v>
      </c>
      <c r="BQ671" s="81">
        <f t="shared" ref="BQ671:BQ684" si="3151">IF(U671=0,0,U671)</f>
        <v>0</v>
      </c>
      <c r="BR671" s="81">
        <f t="shared" ref="BR671:BR684" si="3152">IF(W671=0,0,W671)</f>
        <v>20000</v>
      </c>
      <c r="BS671" s="81">
        <f t="shared" ref="BS671:BS684" si="3153">IF(BQ671+BR671&gt;0,BQ671+BR671,0)</f>
        <v>20000</v>
      </c>
      <c r="BT671" s="81">
        <f t="shared" ref="BT671:BT684" si="3154">IF(V671&gt;0,V671,0)</f>
        <v>0</v>
      </c>
      <c r="BU671" s="81">
        <f t="shared" ref="BU671:BU684" si="3155">IF(BP671=0,0,BP671)</f>
        <v>0</v>
      </c>
      <c r="BV671" s="81">
        <f t="shared" ref="BV671:BV684" si="3156">IF(BS671=0,0,BS671)</f>
        <v>20000</v>
      </c>
      <c r="BW671" s="81">
        <f t="shared" ref="BW671:BW684" si="3157">IF(BP671+BT671+BV671&gt;0,BP671+BT671+BV671,0)</f>
        <v>20000</v>
      </c>
      <c r="BX671" s="1"/>
      <c r="BY671" s="1"/>
      <c r="BZ671" s="1"/>
      <c r="CA671" s="1"/>
      <c r="CB671" s="1"/>
      <c r="CC671" s="1"/>
      <c r="CD671" s="1"/>
      <c r="CE671" s="1"/>
      <c r="CF671" s="1"/>
      <c r="CG671" s="1"/>
    </row>
    <row r="672" spans="1:85" ht="15.75" customHeight="1">
      <c r="A672" s="176" t="s">
        <v>1026</v>
      </c>
      <c r="B672" s="132"/>
      <c r="C672" s="129" t="s">
        <v>1024</v>
      </c>
      <c r="D672" s="412" t="s">
        <v>1027</v>
      </c>
      <c r="E672" s="70"/>
      <c r="F672" s="71"/>
      <c r="G672" s="71">
        <f t="shared" si="3141"/>
        <v>0</v>
      </c>
      <c r="H672" s="70"/>
      <c r="I672" s="72">
        <f t="shared" si="2631"/>
        <v>0</v>
      </c>
      <c r="J672" s="72">
        <f t="shared" si="2632"/>
        <v>0</v>
      </c>
      <c r="K672" s="76"/>
      <c r="L672" s="75"/>
      <c r="M672" s="75"/>
      <c r="N672" s="94">
        <v>3450</v>
      </c>
      <c r="O672" s="77">
        <f t="shared" ref="O672:Q672" si="3158">AA672+AD672+AG672+AJ672+AM672+AP672+AS672+AV672+AY672+BB672+BE672+BH672</f>
        <v>0</v>
      </c>
      <c r="P672" s="77">
        <f t="shared" si="3158"/>
        <v>0</v>
      </c>
      <c r="Q672" s="77">
        <f t="shared" si="3158"/>
        <v>0</v>
      </c>
      <c r="R672" s="77">
        <f t="shared" ref="R672:T672" si="3159">IF(BK672=0,SUM(AA672+AD672+AG672+AJ672+AM672+AP672+AS672+AV672+AY672+BB672+BE672+BH672),BK672)</f>
        <v>0</v>
      </c>
      <c r="S672" s="77">
        <f t="shared" si="3159"/>
        <v>0</v>
      </c>
      <c r="T672" s="77">
        <f t="shared" si="3159"/>
        <v>0</v>
      </c>
      <c r="U672" s="79">
        <f t="shared" si="3144"/>
        <v>0</v>
      </c>
      <c r="V672" s="79">
        <f t="shared" si="3145"/>
        <v>0</v>
      </c>
      <c r="W672" s="78">
        <f t="shared" si="3146"/>
        <v>3450</v>
      </c>
      <c r="X672" s="80">
        <f t="shared" ref="X672:Y672" si="3160">IF(O672&gt;0,O672/K672,0)</f>
        <v>0</v>
      </c>
      <c r="Y672" s="80">
        <f t="shared" si="3160"/>
        <v>0</v>
      </c>
      <c r="Z672" s="80">
        <f t="shared" si="2391"/>
        <v>0</v>
      </c>
      <c r="AA672" s="81"/>
      <c r="AB672" s="81"/>
      <c r="AC672" s="81"/>
      <c r="AD672" s="81"/>
      <c r="AE672" s="83"/>
      <c r="AF672" s="83"/>
      <c r="AG672" s="83"/>
      <c r="AH672" s="83"/>
      <c r="AI672" s="81"/>
      <c r="AJ672" s="81"/>
      <c r="AK672" s="81"/>
      <c r="AL672" s="81"/>
      <c r="AM672" s="81"/>
      <c r="AN672" s="81"/>
      <c r="AO672" s="81"/>
      <c r="AP672" s="81"/>
      <c r="AQ672" s="81"/>
      <c r="AR672" s="81"/>
      <c r="AS672" s="81"/>
      <c r="AT672" s="81"/>
      <c r="AU672" s="81"/>
      <c r="AV672" s="81"/>
      <c r="AW672" s="81"/>
      <c r="AX672" s="81"/>
      <c r="AY672" s="81"/>
      <c r="AZ672" s="81"/>
      <c r="BA672" s="81"/>
      <c r="BB672" s="81"/>
      <c r="BC672" s="81"/>
      <c r="BD672" s="81"/>
      <c r="BE672" s="81"/>
      <c r="BF672" s="81"/>
      <c r="BG672" s="81"/>
      <c r="BH672" s="81"/>
      <c r="BI672" s="81"/>
      <c r="BJ672" s="81"/>
      <c r="BK672" s="82">
        <v>0</v>
      </c>
      <c r="BL672" s="82">
        <v>0</v>
      </c>
      <c r="BM672" s="82">
        <v>0</v>
      </c>
      <c r="BN672" s="81">
        <f t="shared" si="3148"/>
        <v>0</v>
      </c>
      <c r="BO672" s="75">
        <f t="shared" si="3149"/>
        <v>0</v>
      </c>
      <c r="BP672" s="81">
        <f t="shared" si="3150"/>
        <v>0</v>
      </c>
      <c r="BQ672" s="81">
        <f t="shared" si="3151"/>
        <v>0</v>
      </c>
      <c r="BR672" s="81">
        <f t="shared" si="3152"/>
        <v>3450</v>
      </c>
      <c r="BS672" s="81">
        <f t="shared" si="3153"/>
        <v>3450</v>
      </c>
      <c r="BT672" s="81">
        <f t="shared" si="3154"/>
        <v>0</v>
      </c>
      <c r="BU672" s="81">
        <f t="shared" si="3155"/>
        <v>0</v>
      </c>
      <c r="BV672" s="81">
        <f t="shared" si="3156"/>
        <v>3450</v>
      </c>
      <c r="BW672" s="81">
        <f t="shared" si="3157"/>
        <v>3450</v>
      </c>
      <c r="BX672" s="1"/>
      <c r="BY672" s="1"/>
      <c r="BZ672" s="1"/>
      <c r="CA672" s="1"/>
      <c r="CB672" s="1"/>
      <c r="CC672" s="1"/>
      <c r="CD672" s="1"/>
      <c r="CE672" s="1"/>
      <c r="CF672" s="1"/>
      <c r="CG672" s="1"/>
    </row>
    <row r="673" spans="1:85" ht="15.75" customHeight="1">
      <c r="A673" s="176" t="s">
        <v>1028</v>
      </c>
      <c r="B673" s="132"/>
      <c r="C673" s="129" t="s">
        <v>1024</v>
      </c>
      <c r="D673" s="412" t="s">
        <v>1029</v>
      </c>
      <c r="E673" s="70"/>
      <c r="F673" s="71"/>
      <c r="G673" s="71">
        <f t="shared" si="3141"/>
        <v>0</v>
      </c>
      <c r="H673" s="70"/>
      <c r="I673" s="72">
        <f t="shared" si="2631"/>
        <v>0</v>
      </c>
      <c r="J673" s="72">
        <f t="shared" si="2632"/>
        <v>0</v>
      </c>
      <c r="K673" s="76"/>
      <c r="L673" s="75"/>
      <c r="M673" s="75"/>
      <c r="N673" s="94">
        <v>1570</v>
      </c>
      <c r="O673" s="77">
        <f t="shared" ref="O673:Q673" si="3161">AA673+AD673+AG673+AJ673+AM673+AP673+AS673+AV673+AY673+BB673+BE673+BH673</f>
        <v>0</v>
      </c>
      <c r="P673" s="77">
        <f t="shared" si="3161"/>
        <v>0</v>
      </c>
      <c r="Q673" s="77">
        <f t="shared" si="3161"/>
        <v>0</v>
      </c>
      <c r="R673" s="77">
        <f t="shared" ref="R673:T673" si="3162">IF(BK673=0,SUM(AA673+AD673+AG673+AJ673+AM673+AP673+AS673+AV673+AY673+BB673+BE673+BH673),BK673)</f>
        <v>0</v>
      </c>
      <c r="S673" s="77">
        <f t="shared" si="3162"/>
        <v>0</v>
      </c>
      <c r="T673" s="77">
        <f t="shared" si="3162"/>
        <v>0</v>
      </c>
      <c r="U673" s="79">
        <f t="shared" si="3144"/>
        <v>0</v>
      </c>
      <c r="V673" s="79">
        <f t="shared" si="3145"/>
        <v>0</v>
      </c>
      <c r="W673" s="78">
        <f t="shared" si="3146"/>
        <v>1570</v>
      </c>
      <c r="X673" s="80">
        <f t="shared" ref="X673:Y673" si="3163">IF(O673&gt;0,O673/K673,0)</f>
        <v>0</v>
      </c>
      <c r="Y673" s="80">
        <f t="shared" si="3163"/>
        <v>0</v>
      </c>
      <c r="Z673" s="80">
        <f t="shared" si="2391"/>
        <v>0</v>
      </c>
      <c r="AA673" s="81"/>
      <c r="AB673" s="81"/>
      <c r="AC673" s="81"/>
      <c r="AD673" s="81"/>
      <c r="AE673" s="83"/>
      <c r="AF673" s="83"/>
      <c r="AG673" s="83"/>
      <c r="AH673" s="83"/>
      <c r="AI673" s="81"/>
      <c r="AJ673" s="81"/>
      <c r="AK673" s="81"/>
      <c r="AL673" s="81"/>
      <c r="AM673" s="81"/>
      <c r="AN673" s="81"/>
      <c r="AO673" s="81"/>
      <c r="AP673" s="81"/>
      <c r="AQ673" s="81"/>
      <c r="AR673" s="81"/>
      <c r="AS673" s="81"/>
      <c r="AT673" s="81"/>
      <c r="AU673" s="81"/>
      <c r="AV673" s="81"/>
      <c r="AW673" s="81"/>
      <c r="AX673" s="81"/>
      <c r="AY673" s="81"/>
      <c r="AZ673" s="81"/>
      <c r="BA673" s="81"/>
      <c r="BB673" s="81"/>
      <c r="BC673" s="81"/>
      <c r="BD673" s="81"/>
      <c r="BE673" s="81"/>
      <c r="BF673" s="81"/>
      <c r="BG673" s="81"/>
      <c r="BH673" s="81"/>
      <c r="BI673" s="81"/>
      <c r="BJ673" s="81"/>
      <c r="BK673" s="82">
        <v>0</v>
      </c>
      <c r="BL673" s="82">
        <v>0</v>
      </c>
      <c r="BM673" s="82">
        <v>0</v>
      </c>
      <c r="BN673" s="81">
        <f t="shared" si="3148"/>
        <v>0</v>
      </c>
      <c r="BO673" s="75">
        <f t="shared" si="3149"/>
        <v>0</v>
      </c>
      <c r="BP673" s="81">
        <f t="shared" si="3150"/>
        <v>0</v>
      </c>
      <c r="BQ673" s="81">
        <f t="shared" si="3151"/>
        <v>0</v>
      </c>
      <c r="BR673" s="81">
        <f t="shared" si="3152"/>
        <v>1570</v>
      </c>
      <c r="BS673" s="81">
        <f t="shared" si="3153"/>
        <v>1570</v>
      </c>
      <c r="BT673" s="81">
        <f t="shared" si="3154"/>
        <v>0</v>
      </c>
      <c r="BU673" s="81">
        <f t="shared" si="3155"/>
        <v>0</v>
      </c>
      <c r="BV673" s="81">
        <f t="shared" si="3156"/>
        <v>1570</v>
      </c>
      <c r="BW673" s="81">
        <f t="shared" si="3157"/>
        <v>1570</v>
      </c>
      <c r="BX673" s="1"/>
      <c r="BY673" s="1"/>
      <c r="BZ673" s="1"/>
      <c r="CA673" s="1"/>
      <c r="CB673" s="1"/>
      <c r="CC673" s="1"/>
      <c r="CD673" s="1"/>
      <c r="CE673" s="1"/>
      <c r="CF673" s="1"/>
      <c r="CG673" s="1"/>
    </row>
    <row r="674" spans="1:85" ht="15.75" customHeight="1">
      <c r="A674" s="176" t="s">
        <v>1030</v>
      </c>
      <c r="B674" s="132"/>
      <c r="C674" s="129" t="s">
        <v>367</v>
      </c>
      <c r="D674" s="412" t="s">
        <v>1031</v>
      </c>
      <c r="E674" s="70"/>
      <c r="F674" s="71"/>
      <c r="G674" s="71">
        <f t="shared" si="3141"/>
        <v>0</v>
      </c>
      <c r="H674" s="70"/>
      <c r="I674" s="72">
        <f t="shared" si="2631"/>
        <v>0</v>
      </c>
      <c r="J674" s="72">
        <f t="shared" si="2632"/>
        <v>0</v>
      </c>
      <c r="K674" s="76"/>
      <c r="L674" s="75"/>
      <c r="M674" s="75"/>
      <c r="N674" s="94">
        <v>3295.13</v>
      </c>
      <c r="O674" s="77">
        <f t="shared" ref="O674:Q674" si="3164">AA674+AD674+AG674+AJ674+AM674+AP674+AS674+AV674+AY674+BB674+BE674+BH674</f>
        <v>0</v>
      </c>
      <c r="P674" s="77">
        <f t="shared" si="3164"/>
        <v>0</v>
      </c>
      <c r="Q674" s="77">
        <f t="shared" si="3164"/>
        <v>0</v>
      </c>
      <c r="R674" s="77">
        <f t="shared" ref="R674:T674" si="3165">IF(BK674=0,SUM(AA674+AD674+AG674+AJ674+AM674+AP674+AS674+AV674+AY674+BB674+BE674+BH674),BK674)</f>
        <v>0</v>
      </c>
      <c r="S674" s="77">
        <f t="shared" si="3165"/>
        <v>0</v>
      </c>
      <c r="T674" s="77">
        <f t="shared" si="3165"/>
        <v>0</v>
      </c>
      <c r="U674" s="79">
        <f t="shared" si="3144"/>
        <v>0</v>
      </c>
      <c r="V674" s="79">
        <f t="shared" si="3145"/>
        <v>0</v>
      </c>
      <c r="W674" s="78">
        <f t="shared" si="3146"/>
        <v>3295.13</v>
      </c>
      <c r="X674" s="80">
        <f t="shared" ref="X674:Y674" si="3166">IF(O674&gt;0,O674/K674,0)</f>
        <v>0</v>
      </c>
      <c r="Y674" s="80">
        <f t="shared" si="3166"/>
        <v>0</v>
      </c>
      <c r="Z674" s="80">
        <f t="shared" si="2391"/>
        <v>0</v>
      </c>
      <c r="AA674" s="81"/>
      <c r="AB674" s="81"/>
      <c r="AC674" s="81"/>
      <c r="AD674" s="81"/>
      <c r="AE674" s="83"/>
      <c r="AF674" s="83"/>
      <c r="AG674" s="83"/>
      <c r="AH674" s="83"/>
      <c r="AI674" s="81"/>
      <c r="AJ674" s="81"/>
      <c r="AK674" s="81"/>
      <c r="AL674" s="81"/>
      <c r="AM674" s="81"/>
      <c r="AN674" s="81"/>
      <c r="AO674" s="81"/>
      <c r="AP674" s="81"/>
      <c r="AQ674" s="81"/>
      <c r="AR674" s="81"/>
      <c r="AS674" s="81"/>
      <c r="AT674" s="81"/>
      <c r="AU674" s="81"/>
      <c r="AV674" s="81"/>
      <c r="AW674" s="81"/>
      <c r="AX674" s="81"/>
      <c r="AY674" s="81"/>
      <c r="AZ674" s="81"/>
      <c r="BA674" s="81"/>
      <c r="BB674" s="81"/>
      <c r="BC674" s="81"/>
      <c r="BD674" s="81"/>
      <c r="BE674" s="81"/>
      <c r="BF674" s="81"/>
      <c r="BG674" s="81"/>
      <c r="BH674" s="81"/>
      <c r="BI674" s="81"/>
      <c r="BJ674" s="81"/>
      <c r="BK674" s="82">
        <v>0</v>
      </c>
      <c r="BL674" s="82">
        <v>0</v>
      </c>
      <c r="BM674" s="82">
        <v>0</v>
      </c>
      <c r="BN674" s="81">
        <f t="shared" si="3148"/>
        <v>0</v>
      </c>
      <c r="BO674" s="75">
        <f t="shared" si="3149"/>
        <v>0</v>
      </c>
      <c r="BP674" s="81">
        <f t="shared" si="3150"/>
        <v>0</v>
      </c>
      <c r="BQ674" s="81">
        <f t="shared" si="3151"/>
        <v>0</v>
      </c>
      <c r="BR674" s="81">
        <f t="shared" si="3152"/>
        <v>3295.13</v>
      </c>
      <c r="BS674" s="81">
        <f t="shared" si="3153"/>
        <v>3295.13</v>
      </c>
      <c r="BT674" s="81">
        <f t="shared" si="3154"/>
        <v>0</v>
      </c>
      <c r="BU674" s="81">
        <f t="shared" si="3155"/>
        <v>0</v>
      </c>
      <c r="BV674" s="81">
        <f t="shared" si="3156"/>
        <v>3295.13</v>
      </c>
      <c r="BW674" s="81">
        <f t="shared" si="3157"/>
        <v>3295.13</v>
      </c>
      <c r="BX674" s="1"/>
      <c r="BY674" s="1"/>
      <c r="BZ674" s="1"/>
      <c r="CA674" s="1"/>
      <c r="CB674" s="1"/>
      <c r="CC674" s="1"/>
      <c r="CD674" s="1"/>
      <c r="CE674" s="1"/>
      <c r="CF674" s="1"/>
      <c r="CG674" s="1"/>
    </row>
    <row r="675" spans="1:85" ht="15.75" customHeight="1">
      <c r="A675" s="176" t="s">
        <v>1032</v>
      </c>
      <c r="B675" s="132"/>
      <c r="C675" s="129" t="s">
        <v>367</v>
      </c>
      <c r="D675" s="412" t="s">
        <v>1033</v>
      </c>
      <c r="E675" s="70"/>
      <c r="F675" s="71"/>
      <c r="G675" s="71">
        <f t="shared" si="3141"/>
        <v>0</v>
      </c>
      <c r="H675" s="70"/>
      <c r="I675" s="72">
        <f t="shared" si="2631"/>
        <v>0</v>
      </c>
      <c r="J675" s="72">
        <f t="shared" si="2632"/>
        <v>0</v>
      </c>
      <c r="K675" s="76"/>
      <c r="L675" s="75"/>
      <c r="M675" s="75"/>
      <c r="N675" s="94">
        <v>3145.08</v>
      </c>
      <c r="O675" s="77">
        <f t="shared" ref="O675:Q675" si="3167">AA675+AD675+AG675+AJ675+AM675+AP675+AS675+AV675+AY675+BB675+BE675+BH675</f>
        <v>0</v>
      </c>
      <c r="P675" s="77">
        <f t="shared" si="3167"/>
        <v>0</v>
      </c>
      <c r="Q675" s="77">
        <f t="shared" si="3167"/>
        <v>0</v>
      </c>
      <c r="R675" s="77">
        <f t="shared" ref="R675:T675" si="3168">IF(BK675=0,SUM(AA675+AD675+AG675+AJ675+AM675+AP675+AS675+AV675+AY675+BB675+BE675+BH675),BK675)</f>
        <v>0</v>
      </c>
      <c r="S675" s="77">
        <f t="shared" si="3168"/>
        <v>0</v>
      </c>
      <c r="T675" s="77">
        <f t="shared" si="3168"/>
        <v>0</v>
      </c>
      <c r="U675" s="79">
        <f t="shared" si="3144"/>
        <v>0</v>
      </c>
      <c r="V675" s="79">
        <f t="shared" si="3145"/>
        <v>0</v>
      </c>
      <c r="W675" s="78">
        <f t="shared" si="3146"/>
        <v>3145.08</v>
      </c>
      <c r="X675" s="80">
        <f t="shared" ref="X675:Y675" si="3169">IF(O675&gt;0,O675/K675,0)</f>
        <v>0</v>
      </c>
      <c r="Y675" s="80">
        <f t="shared" si="3169"/>
        <v>0</v>
      </c>
      <c r="Z675" s="80">
        <f t="shared" si="2391"/>
        <v>0</v>
      </c>
      <c r="AA675" s="81"/>
      <c r="AB675" s="81"/>
      <c r="AC675" s="81"/>
      <c r="AD675" s="81"/>
      <c r="AE675" s="83"/>
      <c r="AF675" s="83"/>
      <c r="AG675" s="83"/>
      <c r="AH675" s="83"/>
      <c r="AI675" s="81"/>
      <c r="AJ675" s="81"/>
      <c r="AK675" s="81"/>
      <c r="AL675" s="81"/>
      <c r="AM675" s="81"/>
      <c r="AN675" s="81"/>
      <c r="AO675" s="81"/>
      <c r="AP675" s="81"/>
      <c r="AQ675" s="81"/>
      <c r="AR675" s="81"/>
      <c r="AS675" s="81"/>
      <c r="AT675" s="81"/>
      <c r="AU675" s="81"/>
      <c r="AV675" s="81"/>
      <c r="AW675" s="81"/>
      <c r="AX675" s="81"/>
      <c r="AY675" s="81"/>
      <c r="AZ675" s="81"/>
      <c r="BA675" s="81"/>
      <c r="BB675" s="81"/>
      <c r="BC675" s="81"/>
      <c r="BD675" s="81"/>
      <c r="BE675" s="81"/>
      <c r="BF675" s="81"/>
      <c r="BG675" s="81"/>
      <c r="BH675" s="81"/>
      <c r="BI675" s="81"/>
      <c r="BJ675" s="81"/>
      <c r="BK675" s="82">
        <v>0</v>
      </c>
      <c r="BL675" s="82">
        <v>0</v>
      </c>
      <c r="BM675" s="82">
        <v>0</v>
      </c>
      <c r="BN675" s="81">
        <f t="shared" si="3148"/>
        <v>0</v>
      </c>
      <c r="BO675" s="75">
        <f t="shared" si="3149"/>
        <v>0</v>
      </c>
      <c r="BP675" s="81">
        <f t="shared" si="3150"/>
        <v>0</v>
      </c>
      <c r="BQ675" s="81">
        <f t="shared" si="3151"/>
        <v>0</v>
      </c>
      <c r="BR675" s="81">
        <f t="shared" si="3152"/>
        <v>3145.08</v>
      </c>
      <c r="BS675" s="81">
        <f t="shared" si="3153"/>
        <v>3145.08</v>
      </c>
      <c r="BT675" s="81">
        <f t="shared" si="3154"/>
        <v>0</v>
      </c>
      <c r="BU675" s="81">
        <f t="shared" si="3155"/>
        <v>0</v>
      </c>
      <c r="BV675" s="81">
        <f t="shared" si="3156"/>
        <v>3145.08</v>
      </c>
      <c r="BW675" s="81">
        <f t="shared" si="3157"/>
        <v>3145.08</v>
      </c>
      <c r="BX675" s="1"/>
      <c r="BY675" s="1"/>
      <c r="BZ675" s="1"/>
      <c r="CA675" s="1"/>
      <c r="CB675" s="1"/>
      <c r="CC675" s="1"/>
      <c r="CD675" s="1"/>
      <c r="CE675" s="1"/>
      <c r="CF675" s="1"/>
      <c r="CG675" s="1"/>
    </row>
    <row r="676" spans="1:85" ht="15.75" customHeight="1">
      <c r="A676" s="176" t="s">
        <v>1030</v>
      </c>
      <c r="B676" s="132"/>
      <c r="C676" s="129" t="s">
        <v>430</v>
      </c>
      <c r="D676" s="412" t="s">
        <v>1031</v>
      </c>
      <c r="E676" s="70"/>
      <c r="F676" s="71"/>
      <c r="G676" s="71">
        <f t="shared" si="3141"/>
        <v>0</v>
      </c>
      <c r="H676" s="70"/>
      <c r="I676" s="72">
        <f t="shared" si="2631"/>
        <v>0</v>
      </c>
      <c r="J676" s="72">
        <f t="shared" si="2632"/>
        <v>0</v>
      </c>
      <c r="K676" s="76"/>
      <c r="L676" s="75"/>
      <c r="M676" s="75"/>
      <c r="N676" s="94">
        <v>23806.95</v>
      </c>
      <c r="O676" s="77">
        <f t="shared" ref="O676:Q676" si="3170">AA676+AD676+AG676+AJ676+AM676+AP676+AS676+AV676+AY676+BB676+BE676+BH676</f>
        <v>0</v>
      </c>
      <c r="P676" s="77">
        <f t="shared" si="3170"/>
        <v>0</v>
      </c>
      <c r="Q676" s="77">
        <f t="shared" si="3170"/>
        <v>0</v>
      </c>
      <c r="R676" s="77">
        <f t="shared" ref="R676:T676" si="3171">IF(BK676=0,SUM(AA676+AD676+AG676+AJ676+AM676+AP676+AS676+AV676+AY676+BB676+BE676+BH676),BK676)</f>
        <v>0</v>
      </c>
      <c r="S676" s="77">
        <f t="shared" si="3171"/>
        <v>0</v>
      </c>
      <c r="T676" s="77">
        <f t="shared" si="3171"/>
        <v>0</v>
      </c>
      <c r="U676" s="79">
        <f t="shared" si="3144"/>
        <v>0</v>
      </c>
      <c r="V676" s="79">
        <f t="shared" si="3145"/>
        <v>0</v>
      </c>
      <c r="W676" s="78">
        <f t="shared" si="3146"/>
        <v>23806.95</v>
      </c>
      <c r="X676" s="80">
        <f t="shared" ref="X676:Y676" si="3172">IF(O676&gt;0,O676/K676,0)</f>
        <v>0</v>
      </c>
      <c r="Y676" s="80">
        <f t="shared" si="3172"/>
        <v>0</v>
      </c>
      <c r="Z676" s="80">
        <f t="shared" si="2391"/>
        <v>0</v>
      </c>
      <c r="AA676" s="81"/>
      <c r="AB676" s="81"/>
      <c r="AC676" s="81"/>
      <c r="AD676" s="81"/>
      <c r="AE676" s="83"/>
      <c r="AF676" s="83"/>
      <c r="AG676" s="83"/>
      <c r="AH676" s="83"/>
      <c r="AI676" s="81"/>
      <c r="AJ676" s="81"/>
      <c r="AK676" s="81"/>
      <c r="AL676" s="81"/>
      <c r="AM676" s="81"/>
      <c r="AN676" s="81"/>
      <c r="AO676" s="81"/>
      <c r="AP676" s="81"/>
      <c r="AQ676" s="81"/>
      <c r="AR676" s="81"/>
      <c r="AS676" s="81"/>
      <c r="AT676" s="81"/>
      <c r="AU676" s="81"/>
      <c r="AV676" s="81"/>
      <c r="AW676" s="81"/>
      <c r="AX676" s="81"/>
      <c r="AY676" s="81"/>
      <c r="AZ676" s="81"/>
      <c r="BA676" s="81"/>
      <c r="BB676" s="81"/>
      <c r="BC676" s="81"/>
      <c r="BD676" s="81"/>
      <c r="BE676" s="81"/>
      <c r="BF676" s="81"/>
      <c r="BG676" s="81"/>
      <c r="BH676" s="81"/>
      <c r="BI676" s="81"/>
      <c r="BJ676" s="81"/>
      <c r="BK676" s="82">
        <v>0</v>
      </c>
      <c r="BL676" s="82">
        <v>0</v>
      </c>
      <c r="BM676" s="82">
        <v>0</v>
      </c>
      <c r="BN676" s="81">
        <f t="shared" si="3148"/>
        <v>0</v>
      </c>
      <c r="BO676" s="75">
        <f t="shared" si="3149"/>
        <v>0</v>
      </c>
      <c r="BP676" s="81">
        <f t="shared" si="3150"/>
        <v>0</v>
      </c>
      <c r="BQ676" s="81">
        <f t="shared" si="3151"/>
        <v>0</v>
      </c>
      <c r="BR676" s="81">
        <f t="shared" si="3152"/>
        <v>23806.95</v>
      </c>
      <c r="BS676" s="81">
        <f t="shared" si="3153"/>
        <v>23806.95</v>
      </c>
      <c r="BT676" s="81">
        <f t="shared" si="3154"/>
        <v>0</v>
      </c>
      <c r="BU676" s="81">
        <f t="shared" si="3155"/>
        <v>0</v>
      </c>
      <c r="BV676" s="81">
        <f t="shared" si="3156"/>
        <v>23806.95</v>
      </c>
      <c r="BW676" s="81">
        <f t="shared" si="3157"/>
        <v>23806.95</v>
      </c>
      <c r="BX676" s="1"/>
      <c r="BY676" s="1"/>
      <c r="BZ676" s="1"/>
      <c r="CA676" s="1"/>
      <c r="CB676" s="1"/>
      <c r="CC676" s="1"/>
      <c r="CD676" s="1"/>
      <c r="CE676" s="1"/>
      <c r="CF676" s="1"/>
      <c r="CG676" s="1"/>
    </row>
    <row r="677" spans="1:85" ht="15.75" customHeight="1">
      <c r="A677" s="176" t="s">
        <v>1034</v>
      </c>
      <c r="B677" s="132"/>
      <c r="C677" s="129" t="s">
        <v>430</v>
      </c>
      <c r="D677" s="412" t="s">
        <v>1035</v>
      </c>
      <c r="E677" s="70"/>
      <c r="F677" s="71"/>
      <c r="G677" s="71">
        <f t="shared" si="3141"/>
        <v>0</v>
      </c>
      <c r="H677" s="70"/>
      <c r="I677" s="72">
        <f t="shared" si="2631"/>
        <v>0</v>
      </c>
      <c r="J677" s="72">
        <f t="shared" si="2632"/>
        <v>0</v>
      </c>
      <c r="K677" s="76"/>
      <c r="L677" s="75"/>
      <c r="M677" s="75"/>
      <c r="N677" s="94">
        <v>3973.4</v>
      </c>
      <c r="O677" s="77">
        <f t="shared" ref="O677:Q677" si="3173">AA677+AD677+AG677+AJ677+AM677+AP677+AS677+AV677+AY677+BB677+BE677+BH677</f>
        <v>0</v>
      </c>
      <c r="P677" s="77">
        <f t="shared" si="3173"/>
        <v>0</v>
      </c>
      <c r="Q677" s="77">
        <f t="shared" si="3173"/>
        <v>0</v>
      </c>
      <c r="R677" s="77">
        <f t="shared" ref="R677:T677" si="3174">IF(BK677=0,SUM(AA677+AD677+AG677+AJ677+AM677+AP677+AS677+AV677+AY677+BB677+BE677+BH677),BK677)</f>
        <v>0</v>
      </c>
      <c r="S677" s="77">
        <f t="shared" si="3174"/>
        <v>0</v>
      </c>
      <c r="T677" s="77">
        <f t="shared" si="3174"/>
        <v>0</v>
      </c>
      <c r="U677" s="79">
        <f t="shared" si="3144"/>
        <v>0</v>
      </c>
      <c r="V677" s="79">
        <f t="shared" si="3145"/>
        <v>0</v>
      </c>
      <c r="W677" s="78">
        <f t="shared" si="3146"/>
        <v>3973.4</v>
      </c>
      <c r="X677" s="80">
        <f t="shared" ref="X677:Y677" si="3175">IF(O677&gt;0,O677/K677,0)</f>
        <v>0</v>
      </c>
      <c r="Y677" s="80">
        <f t="shared" si="3175"/>
        <v>0</v>
      </c>
      <c r="Z677" s="80">
        <f t="shared" si="2391"/>
        <v>0</v>
      </c>
      <c r="AA677" s="81"/>
      <c r="AB677" s="81"/>
      <c r="AC677" s="81"/>
      <c r="AD677" s="81"/>
      <c r="AE677" s="83"/>
      <c r="AF677" s="83"/>
      <c r="AG677" s="83"/>
      <c r="AH677" s="83"/>
      <c r="AI677" s="81"/>
      <c r="AJ677" s="81"/>
      <c r="AK677" s="81"/>
      <c r="AL677" s="81"/>
      <c r="AM677" s="81"/>
      <c r="AN677" s="81"/>
      <c r="AO677" s="81"/>
      <c r="AP677" s="81"/>
      <c r="AQ677" s="81"/>
      <c r="AR677" s="81"/>
      <c r="AS677" s="81"/>
      <c r="AT677" s="81"/>
      <c r="AU677" s="81"/>
      <c r="AV677" s="81"/>
      <c r="AW677" s="81"/>
      <c r="AX677" s="81"/>
      <c r="AY677" s="81"/>
      <c r="AZ677" s="81"/>
      <c r="BA677" s="81"/>
      <c r="BB677" s="81"/>
      <c r="BC677" s="81"/>
      <c r="BD677" s="81"/>
      <c r="BE677" s="81"/>
      <c r="BF677" s="81"/>
      <c r="BG677" s="81"/>
      <c r="BH677" s="81"/>
      <c r="BI677" s="81"/>
      <c r="BJ677" s="81"/>
      <c r="BK677" s="82">
        <v>0</v>
      </c>
      <c r="BL677" s="82">
        <v>0</v>
      </c>
      <c r="BM677" s="82">
        <v>0</v>
      </c>
      <c r="BN677" s="81">
        <f t="shared" si="3148"/>
        <v>0</v>
      </c>
      <c r="BO677" s="75">
        <f t="shared" si="3149"/>
        <v>0</v>
      </c>
      <c r="BP677" s="81">
        <f t="shared" si="3150"/>
        <v>0</v>
      </c>
      <c r="BQ677" s="81">
        <f t="shared" si="3151"/>
        <v>0</v>
      </c>
      <c r="BR677" s="81">
        <f t="shared" si="3152"/>
        <v>3973.4</v>
      </c>
      <c r="BS677" s="81">
        <f t="shared" si="3153"/>
        <v>3973.4</v>
      </c>
      <c r="BT677" s="81">
        <f t="shared" si="3154"/>
        <v>0</v>
      </c>
      <c r="BU677" s="81">
        <f t="shared" si="3155"/>
        <v>0</v>
      </c>
      <c r="BV677" s="81">
        <f t="shared" si="3156"/>
        <v>3973.4</v>
      </c>
      <c r="BW677" s="81">
        <f t="shared" si="3157"/>
        <v>3973.4</v>
      </c>
      <c r="BX677" s="1"/>
      <c r="BY677" s="1"/>
      <c r="BZ677" s="1"/>
      <c r="CA677" s="1"/>
      <c r="CB677" s="1"/>
      <c r="CC677" s="1"/>
      <c r="CD677" s="1"/>
      <c r="CE677" s="1"/>
      <c r="CF677" s="1"/>
      <c r="CG677" s="1"/>
    </row>
    <row r="678" spans="1:85" ht="15.75" customHeight="1">
      <c r="A678" s="176" t="s">
        <v>1036</v>
      </c>
      <c r="B678" s="132"/>
      <c r="C678" s="129" t="s">
        <v>413</v>
      </c>
      <c r="D678" s="412" t="s">
        <v>1037</v>
      </c>
      <c r="E678" s="70"/>
      <c r="F678" s="71"/>
      <c r="G678" s="71">
        <f t="shared" si="3141"/>
        <v>0</v>
      </c>
      <c r="H678" s="70"/>
      <c r="I678" s="72">
        <f t="shared" si="2631"/>
        <v>0</v>
      </c>
      <c r="J678" s="72">
        <f t="shared" si="2632"/>
        <v>0</v>
      </c>
      <c r="K678" s="76"/>
      <c r="L678" s="75"/>
      <c r="M678" s="75"/>
      <c r="N678" s="94">
        <v>925.65</v>
      </c>
      <c r="O678" s="77">
        <f t="shared" ref="O678:Q678" si="3176">AA678+AD678+AG678+AJ678+AM678+AP678+AS678+AV678+AY678+BB678+BE678+BH678</f>
        <v>0</v>
      </c>
      <c r="P678" s="77">
        <f t="shared" si="3176"/>
        <v>0</v>
      </c>
      <c r="Q678" s="77">
        <f t="shared" si="3176"/>
        <v>0</v>
      </c>
      <c r="R678" s="77">
        <f t="shared" ref="R678:T678" si="3177">IF(BK678=0,SUM(AA678+AD678+AG678+AJ678+AM678+AP678+AS678+AV678+AY678+BB678+BE678+BH678),BK678)</f>
        <v>0</v>
      </c>
      <c r="S678" s="77">
        <f t="shared" si="3177"/>
        <v>0</v>
      </c>
      <c r="T678" s="77">
        <f t="shared" si="3177"/>
        <v>0</v>
      </c>
      <c r="U678" s="79">
        <f t="shared" si="3144"/>
        <v>0</v>
      </c>
      <c r="V678" s="79">
        <f t="shared" si="3145"/>
        <v>0</v>
      </c>
      <c r="W678" s="78">
        <f t="shared" si="3146"/>
        <v>925.65</v>
      </c>
      <c r="X678" s="80">
        <f t="shared" ref="X678:Y678" si="3178">IF(O678&gt;0,O678/K678,0)</f>
        <v>0</v>
      </c>
      <c r="Y678" s="80">
        <f t="shared" si="3178"/>
        <v>0</v>
      </c>
      <c r="Z678" s="80">
        <f t="shared" si="2391"/>
        <v>0</v>
      </c>
      <c r="AA678" s="81"/>
      <c r="AB678" s="81"/>
      <c r="AC678" s="81"/>
      <c r="AD678" s="81"/>
      <c r="AE678" s="83"/>
      <c r="AF678" s="83"/>
      <c r="AG678" s="83"/>
      <c r="AH678" s="83"/>
      <c r="AI678" s="81"/>
      <c r="AJ678" s="81"/>
      <c r="AK678" s="81"/>
      <c r="AL678" s="81"/>
      <c r="AM678" s="81"/>
      <c r="AN678" s="81"/>
      <c r="AO678" s="81"/>
      <c r="AP678" s="81"/>
      <c r="AQ678" s="81"/>
      <c r="AR678" s="81"/>
      <c r="AS678" s="81"/>
      <c r="AT678" s="81"/>
      <c r="AU678" s="81"/>
      <c r="AV678" s="81"/>
      <c r="AW678" s="81"/>
      <c r="AX678" s="81"/>
      <c r="AY678" s="81"/>
      <c r="AZ678" s="81"/>
      <c r="BA678" s="81"/>
      <c r="BB678" s="81"/>
      <c r="BC678" s="81"/>
      <c r="BD678" s="81"/>
      <c r="BE678" s="81"/>
      <c r="BF678" s="81"/>
      <c r="BG678" s="81"/>
      <c r="BH678" s="81"/>
      <c r="BI678" s="81"/>
      <c r="BJ678" s="81"/>
      <c r="BK678" s="82">
        <v>0</v>
      </c>
      <c r="BL678" s="82">
        <v>0</v>
      </c>
      <c r="BM678" s="82">
        <v>0</v>
      </c>
      <c r="BN678" s="81">
        <f t="shared" si="3148"/>
        <v>0</v>
      </c>
      <c r="BO678" s="75">
        <f t="shared" si="3149"/>
        <v>0</v>
      </c>
      <c r="BP678" s="81">
        <f t="shared" si="3150"/>
        <v>0</v>
      </c>
      <c r="BQ678" s="81">
        <f t="shared" si="3151"/>
        <v>0</v>
      </c>
      <c r="BR678" s="81">
        <f t="shared" si="3152"/>
        <v>925.65</v>
      </c>
      <c r="BS678" s="81">
        <f t="shared" si="3153"/>
        <v>925.65</v>
      </c>
      <c r="BT678" s="81">
        <f t="shared" si="3154"/>
        <v>0</v>
      </c>
      <c r="BU678" s="81">
        <f t="shared" si="3155"/>
        <v>0</v>
      </c>
      <c r="BV678" s="81">
        <f t="shared" si="3156"/>
        <v>925.65</v>
      </c>
      <c r="BW678" s="81">
        <f t="shared" si="3157"/>
        <v>925.65</v>
      </c>
      <c r="BX678" s="1"/>
      <c r="BY678" s="1"/>
      <c r="BZ678" s="1"/>
      <c r="CA678" s="1"/>
      <c r="CB678" s="1"/>
      <c r="CC678" s="1"/>
      <c r="CD678" s="1"/>
      <c r="CE678" s="1"/>
      <c r="CF678" s="1"/>
      <c r="CG678" s="1"/>
    </row>
    <row r="679" spans="1:85" ht="15.75" customHeight="1">
      <c r="A679" s="176" t="s">
        <v>1038</v>
      </c>
      <c r="B679" s="132"/>
      <c r="C679" s="129" t="s">
        <v>413</v>
      </c>
      <c r="D679" s="412" t="s">
        <v>1039</v>
      </c>
      <c r="E679" s="70"/>
      <c r="F679" s="71"/>
      <c r="G679" s="71">
        <f t="shared" si="3141"/>
        <v>0</v>
      </c>
      <c r="H679" s="70"/>
      <c r="I679" s="72">
        <f t="shared" si="2631"/>
        <v>0</v>
      </c>
      <c r="J679" s="72">
        <f t="shared" si="2632"/>
        <v>0</v>
      </c>
      <c r="K679" s="94"/>
      <c r="L679" s="409"/>
      <c r="M679" s="75"/>
      <c r="N679" s="94">
        <v>560.27</v>
      </c>
      <c r="O679" s="77">
        <f t="shared" ref="O679:Q679" si="3179">AA679+AD679+AG679+AJ679+AM679+AP679+AS679+AV679+AY679+BB679+BE679+BH679</f>
        <v>0</v>
      </c>
      <c r="P679" s="77">
        <f t="shared" si="3179"/>
        <v>0</v>
      </c>
      <c r="Q679" s="77">
        <f t="shared" si="3179"/>
        <v>0</v>
      </c>
      <c r="R679" s="77">
        <f t="shared" ref="R679:T679" si="3180">IF(BK679=0,SUM(AA679+AD679+AG679+AJ679+AM679+AP679+AS679+AV679+AY679+BB679+BE679+BH679),BK679)</f>
        <v>0</v>
      </c>
      <c r="S679" s="77">
        <f t="shared" si="3180"/>
        <v>0</v>
      </c>
      <c r="T679" s="77">
        <f t="shared" si="3180"/>
        <v>0</v>
      </c>
      <c r="U679" s="79">
        <f t="shared" si="3144"/>
        <v>0</v>
      </c>
      <c r="V679" s="79">
        <f t="shared" si="3145"/>
        <v>0</v>
      </c>
      <c r="W679" s="78">
        <f t="shared" si="3146"/>
        <v>560.27</v>
      </c>
      <c r="X679" s="80">
        <f t="shared" ref="X679:Y679" si="3181">IF(O679&gt;0,O679/K679,0)</f>
        <v>0</v>
      </c>
      <c r="Y679" s="80">
        <f t="shared" si="3181"/>
        <v>0</v>
      </c>
      <c r="Z679" s="80">
        <f t="shared" si="2391"/>
        <v>0</v>
      </c>
      <c r="AA679" s="81"/>
      <c r="AB679" s="82"/>
      <c r="AC679" s="81"/>
      <c r="AD679" s="81"/>
      <c r="AE679" s="83"/>
      <c r="AF679" s="83"/>
      <c r="AG679" s="83"/>
      <c r="AH679" s="83"/>
      <c r="AI679" s="81"/>
      <c r="AJ679" s="81"/>
      <c r="AK679" s="81"/>
      <c r="AL679" s="81"/>
      <c r="AM679" s="81"/>
      <c r="AN679" s="81"/>
      <c r="AO679" s="81"/>
      <c r="AP679" s="81"/>
      <c r="AQ679" s="81"/>
      <c r="AR679" s="81"/>
      <c r="AS679" s="81"/>
      <c r="AT679" s="81"/>
      <c r="AU679" s="81"/>
      <c r="AV679" s="82"/>
      <c r="AW679" s="81"/>
      <c r="AX679" s="81"/>
      <c r="AY679" s="81"/>
      <c r="AZ679" s="81"/>
      <c r="BA679" s="81"/>
      <c r="BB679" s="81"/>
      <c r="BC679" s="81"/>
      <c r="BD679" s="81"/>
      <c r="BE679" s="81"/>
      <c r="BF679" s="81"/>
      <c r="BG679" s="81"/>
      <c r="BH679" s="81"/>
      <c r="BI679" s="81"/>
      <c r="BJ679" s="81"/>
      <c r="BK679" s="82">
        <v>0</v>
      </c>
      <c r="BL679" s="82">
        <v>0</v>
      </c>
      <c r="BM679" s="82">
        <v>0</v>
      </c>
      <c r="BN679" s="81">
        <f t="shared" si="3148"/>
        <v>0</v>
      </c>
      <c r="BO679" s="75">
        <f t="shared" si="3149"/>
        <v>0</v>
      </c>
      <c r="BP679" s="81">
        <f t="shared" si="3150"/>
        <v>0</v>
      </c>
      <c r="BQ679" s="81">
        <f t="shared" si="3151"/>
        <v>0</v>
      </c>
      <c r="BR679" s="81">
        <f t="shared" si="3152"/>
        <v>560.27</v>
      </c>
      <c r="BS679" s="81">
        <f t="shared" si="3153"/>
        <v>560.27</v>
      </c>
      <c r="BT679" s="81">
        <f t="shared" si="3154"/>
        <v>0</v>
      </c>
      <c r="BU679" s="81">
        <f t="shared" si="3155"/>
        <v>0</v>
      </c>
      <c r="BV679" s="81">
        <f t="shared" si="3156"/>
        <v>560.27</v>
      </c>
      <c r="BW679" s="81">
        <f t="shared" si="3157"/>
        <v>560.27</v>
      </c>
      <c r="BX679" s="1"/>
      <c r="BY679" s="1"/>
      <c r="BZ679" s="1"/>
      <c r="CA679" s="1"/>
      <c r="CB679" s="1"/>
      <c r="CC679" s="1"/>
      <c r="CD679" s="1"/>
      <c r="CE679" s="1"/>
      <c r="CF679" s="1"/>
      <c r="CG679" s="1"/>
    </row>
    <row r="680" spans="1:85" ht="15.75" customHeight="1">
      <c r="A680" s="176" t="s">
        <v>1040</v>
      </c>
      <c r="B680" s="132"/>
      <c r="C680" s="129" t="s">
        <v>413</v>
      </c>
      <c r="D680" s="412" t="s">
        <v>1041</v>
      </c>
      <c r="E680" s="70"/>
      <c r="F680" s="71"/>
      <c r="G680" s="71">
        <f t="shared" si="3141"/>
        <v>0</v>
      </c>
      <c r="H680" s="70"/>
      <c r="I680" s="72">
        <f t="shared" si="2631"/>
        <v>0</v>
      </c>
      <c r="J680" s="72">
        <f t="shared" si="2632"/>
        <v>0</v>
      </c>
      <c r="K680" s="94"/>
      <c r="L680" s="409"/>
      <c r="M680" s="75"/>
      <c r="N680" s="94">
        <v>2596.77</v>
      </c>
      <c r="O680" s="77">
        <f t="shared" ref="O680:Q680" si="3182">AA680+AD680+AG680+AJ680+AM680+AP680+AS680+AV680+AY680+BB680+BE680+BH680</f>
        <v>0</v>
      </c>
      <c r="P680" s="77">
        <f t="shared" si="3182"/>
        <v>0</v>
      </c>
      <c r="Q680" s="77">
        <f t="shared" si="3182"/>
        <v>0</v>
      </c>
      <c r="R680" s="77">
        <f t="shared" ref="R680:T680" si="3183">IF(BK680=0,SUM(AA680+AD680+AG680+AJ680+AM680+AP680+AS680+AV680+AY680+BB680+BE680+BH680),BK680)</f>
        <v>0</v>
      </c>
      <c r="S680" s="77">
        <f t="shared" si="3183"/>
        <v>0</v>
      </c>
      <c r="T680" s="77">
        <f t="shared" si="3183"/>
        <v>0</v>
      </c>
      <c r="U680" s="79">
        <f t="shared" si="3144"/>
        <v>0</v>
      </c>
      <c r="V680" s="79">
        <f t="shared" si="3145"/>
        <v>0</v>
      </c>
      <c r="W680" s="78">
        <f t="shared" si="3146"/>
        <v>2596.77</v>
      </c>
      <c r="X680" s="80">
        <f t="shared" ref="X680:Y680" si="3184">IF(O680&gt;0,O680/K680,0)</f>
        <v>0</v>
      </c>
      <c r="Y680" s="80">
        <f t="shared" si="3184"/>
        <v>0</v>
      </c>
      <c r="Z680" s="80">
        <f t="shared" si="2391"/>
        <v>0</v>
      </c>
      <c r="AA680" s="81"/>
      <c r="AB680" s="82"/>
      <c r="AC680" s="81"/>
      <c r="AD680" s="81"/>
      <c r="AE680" s="83"/>
      <c r="AF680" s="83"/>
      <c r="AG680" s="83"/>
      <c r="AH680" s="83"/>
      <c r="AI680" s="81"/>
      <c r="AJ680" s="81"/>
      <c r="AK680" s="81"/>
      <c r="AL680" s="81"/>
      <c r="AM680" s="81"/>
      <c r="AN680" s="81"/>
      <c r="AO680" s="81"/>
      <c r="AP680" s="81"/>
      <c r="AQ680" s="81"/>
      <c r="AR680" s="81"/>
      <c r="AS680" s="81"/>
      <c r="AT680" s="81"/>
      <c r="AU680" s="81"/>
      <c r="AV680" s="82"/>
      <c r="AW680" s="81"/>
      <c r="AX680" s="81"/>
      <c r="AY680" s="81"/>
      <c r="AZ680" s="81"/>
      <c r="BA680" s="81"/>
      <c r="BB680" s="81"/>
      <c r="BC680" s="81"/>
      <c r="BD680" s="81"/>
      <c r="BE680" s="81"/>
      <c r="BF680" s="81"/>
      <c r="BG680" s="81"/>
      <c r="BH680" s="81"/>
      <c r="BI680" s="81"/>
      <c r="BJ680" s="81"/>
      <c r="BK680" s="82">
        <v>0</v>
      </c>
      <c r="BL680" s="82">
        <v>0</v>
      </c>
      <c r="BM680" s="82">
        <v>0</v>
      </c>
      <c r="BN680" s="81">
        <f t="shared" si="3148"/>
        <v>0</v>
      </c>
      <c r="BO680" s="75">
        <f t="shared" si="3149"/>
        <v>0</v>
      </c>
      <c r="BP680" s="81">
        <f t="shared" si="3150"/>
        <v>0</v>
      </c>
      <c r="BQ680" s="81">
        <f t="shared" si="3151"/>
        <v>0</v>
      </c>
      <c r="BR680" s="81">
        <f t="shared" si="3152"/>
        <v>2596.77</v>
      </c>
      <c r="BS680" s="81">
        <f t="shared" si="3153"/>
        <v>2596.77</v>
      </c>
      <c r="BT680" s="81">
        <f t="shared" si="3154"/>
        <v>0</v>
      </c>
      <c r="BU680" s="81">
        <f t="shared" si="3155"/>
        <v>0</v>
      </c>
      <c r="BV680" s="81">
        <f t="shared" si="3156"/>
        <v>2596.77</v>
      </c>
      <c r="BW680" s="81">
        <f t="shared" si="3157"/>
        <v>2596.77</v>
      </c>
      <c r="BX680" s="1"/>
      <c r="BY680" s="1"/>
      <c r="BZ680" s="1"/>
      <c r="CA680" s="1"/>
      <c r="CB680" s="1"/>
      <c r="CC680" s="1"/>
      <c r="CD680" s="1"/>
      <c r="CE680" s="1"/>
      <c r="CF680" s="1"/>
      <c r="CG680" s="1"/>
    </row>
    <row r="681" spans="1:85" ht="15.75" customHeight="1">
      <c r="A681" s="176" t="s">
        <v>1042</v>
      </c>
      <c r="B681" s="132"/>
      <c r="C681" s="129" t="s">
        <v>413</v>
      </c>
      <c r="D681" s="412" t="s">
        <v>1043</v>
      </c>
      <c r="E681" s="70"/>
      <c r="F681" s="71"/>
      <c r="G681" s="71">
        <f t="shared" si="3141"/>
        <v>0</v>
      </c>
      <c r="H681" s="70"/>
      <c r="I681" s="72">
        <f t="shared" si="2631"/>
        <v>0</v>
      </c>
      <c r="J681" s="72">
        <f t="shared" si="2632"/>
        <v>0</v>
      </c>
      <c r="K681" s="94"/>
      <c r="L681" s="409"/>
      <c r="M681" s="75"/>
      <c r="N681" s="94">
        <v>727.16</v>
      </c>
      <c r="O681" s="77">
        <f t="shared" ref="O681:Q681" si="3185">AA681+AD681+AG681+AJ681+AM681+AP681+AS681+AV681+AY681+BB681+BE681+BH681</f>
        <v>0</v>
      </c>
      <c r="P681" s="77">
        <f t="shared" si="3185"/>
        <v>0</v>
      </c>
      <c r="Q681" s="77">
        <f t="shared" si="3185"/>
        <v>0</v>
      </c>
      <c r="R681" s="77">
        <f t="shared" ref="R681:T681" si="3186">IF(BK681=0,SUM(AA681+AD681+AG681+AJ681+AM681+AP681+AS681+AV681+AY681+BB681+BE681+BH681),BK681)</f>
        <v>0</v>
      </c>
      <c r="S681" s="77">
        <f t="shared" si="3186"/>
        <v>0</v>
      </c>
      <c r="T681" s="77">
        <f t="shared" si="3186"/>
        <v>0</v>
      </c>
      <c r="U681" s="79">
        <f t="shared" si="3144"/>
        <v>0</v>
      </c>
      <c r="V681" s="79">
        <f t="shared" si="3145"/>
        <v>0</v>
      </c>
      <c r="W681" s="78">
        <f t="shared" si="3146"/>
        <v>727.16</v>
      </c>
      <c r="X681" s="80">
        <f t="shared" ref="X681:Y681" si="3187">IF(O681&gt;0,O681/K681,0)</f>
        <v>0</v>
      </c>
      <c r="Y681" s="80">
        <f t="shared" si="3187"/>
        <v>0</v>
      </c>
      <c r="Z681" s="80">
        <f t="shared" si="2391"/>
        <v>0</v>
      </c>
      <c r="AA681" s="81"/>
      <c r="AB681" s="82"/>
      <c r="AC681" s="81"/>
      <c r="AD681" s="81"/>
      <c r="AE681" s="83"/>
      <c r="AF681" s="83"/>
      <c r="AG681" s="83"/>
      <c r="AH681" s="83"/>
      <c r="AI681" s="81"/>
      <c r="AJ681" s="81"/>
      <c r="AK681" s="81"/>
      <c r="AL681" s="81"/>
      <c r="AM681" s="81"/>
      <c r="AN681" s="81"/>
      <c r="AO681" s="81"/>
      <c r="AP681" s="81"/>
      <c r="AQ681" s="81"/>
      <c r="AR681" s="81"/>
      <c r="AS681" s="81"/>
      <c r="AT681" s="81"/>
      <c r="AU681" s="81"/>
      <c r="AV681" s="82"/>
      <c r="AW681" s="81"/>
      <c r="AX681" s="81"/>
      <c r="AY681" s="81"/>
      <c r="AZ681" s="81"/>
      <c r="BA681" s="81"/>
      <c r="BB681" s="81"/>
      <c r="BC681" s="81"/>
      <c r="BD681" s="81"/>
      <c r="BE681" s="81"/>
      <c r="BF681" s="81"/>
      <c r="BG681" s="81"/>
      <c r="BH681" s="81"/>
      <c r="BI681" s="81"/>
      <c r="BJ681" s="81"/>
      <c r="BK681" s="82">
        <v>0</v>
      </c>
      <c r="BL681" s="82">
        <v>0</v>
      </c>
      <c r="BM681" s="82">
        <v>0</v>
      </c>
      <c r="BN681" s="81">
        <f t="shared" si="3148"/>
        <v>0</v>
      </c>
      <c r="BO681" s="75">
        <f t="shared" si="3149"/>
        <v>0</v>
      </c>
      <c r="BP681" s="81">
        <f t="shared" si="3150"/>
        <v>0</v>
      </c>
      <c r="BQ681" s="81">
        <f t="shared" si="3151"/>
        <v>0</v>
      </c>
      <c r="BR681" s="81">
        <f t="shared" si="3152"/>
        <v>727.16</v>
      </c>
      <c r="BS681" s="81">
        <f t="shared" si="3153"/>
        <v>727.16</v>
      </c>
      <c r="BT681" s="81">
        <f t="shared" si="3154"/>
        <v>0</v>
      </c>
      <c r="BU681" s="81">
        <f t="shared" si="3155"/>
        <v>0</v>
      </c>
      <c r="BV681" s="81">
        <f t="shared" si="3156"/>
        <v>727.16</v>
      </c>
      <c r="BW681" s="81">
        <f t="shared" si="3157"/>
        <v>727.16</v>
      </c>
      <c r="BX681" s="1"/>
      <c r="BY681" s="1"/>
      <c r="BZ681" s="1"/>
      <c r="CA681" s="1"/>
      <c r="CB681" s="1"/>
      <c r="CC681" s="1"/>
      <c r="CD681" s="1"/>
      <c r="CE681" s="1"/>
      <c r="CF681" s="1"/>
      <c r="CG681" s="1"/>
    </row>
    <row r="682" spans="1:85" ht="15.75" customHeight="1">
      <c r="A682" s="176" t="s">
        <v>1044</v>
      </c>
      <c r="B682" s="132"/>
      <c r="C682" s="129" t="s">
        <v>413</v>
      </c>
      <c r="D682" s="412" t="s">
        <v>1045</v>
      </c>
      <c r="E682" s="70"/>
      <c r="F682" s="71"/>
      <c r="G682" s="71">
        <f t="shared" si="3141"/>
        <v>0</v>
      </c>
      <c r="H682" s="70"/>
      <c r="I682" s="72">
        <f t="shared" si="2631"/>
        <v>0</v>
      </c>
      <c r="J682" s="72">
        <f t="shared" si="2632"/>
        <v>0</v>
      </c>
      <c r="K682" s="94"/>
      <c r="L682" s="409"/>
      <c r="M682" s="75"/>
      <c r="N682" s="94">
        <v>410</v>
      </c>
      <c r="O682" s="77">
        <f t="shared" ref="O682:Q682" si="3188">AA682+AD682+AG682+AJ682+AM682+AP682+AS682+AV682+AY682+BB682+BE682+BH682</f>
        <v>0</v>
      </c>
      <c r="P682" s="77">
        <f t="shared" si="3188"/>
        <v>0</v>
      </c>
      <c r="Q682" s="77">
        <f t="shared" si="3188"/>
        <v>0</v>
      </c>
      <c r="R682" s="77">
        <f t="shared" ref="R682:T682" si="3189">IF(BK682=0,SUM(AA682+AD682+AG682+AJ682+AM682+AP682+AS682+AV682+AY682+BB682+BE682+BH682),BK682)</f>
        <v>0</v>
      </c>
      <c r="S682" s="77">
        <f t="shared" si="3189"/>
        <v>0</v>
      </c>
      <c r="T682" s="77">
        <f t="shared" si="3189"/>
        <v>0</v>
      </c>
      <c r="U682" s="79">
        <f t="shared" si="3144"/>
        <v>0</v>
      </c>
      <c r="V682" s="79">
        <f t="shared" si="3145"/>
        <v>0</v>
      </c>
      <c r="W682" s="78">
        <f t="shared" si="3146"/>
        <v>410</v>
      </c>
      <c r="X682" s="80">
        <f t="shared" ref="X682:Y682" si="3190">IF(O682&gt;0,O682/K682,0)</f>
        <v>0</v>
      </c>
      <c r="Y682" s="80">
        <f t="shared" si="3190"/>
        <v>0</v>
      </c>
      <c r="Z682" s="80">
        <f t="shared" si="2391"/>
        <v>0</v>
      </c>
      <c r="AA682" s="81"/>
      <c r="AB682" s="82"/>
      <c r="AC682" s="81"/>
      <c r="AD682" s="81"/>
      <c r="AE682" s="83"/>
      <c r="AF682" s="83"/>
      <c r="AG682" s="83"/>
      <c r="AH682" s="83"/>
      <c r="AI682" s="81"/>
      <c r="AJ682" s="81"/>
      <c r="AK682" s="81"/>
      <c r="AL682" s="81"/>
      <c r="AM682" s="81"/>
      <c r="AN682" s="81"/>
      <c r="AO682" s="81"/>
      <c r="AP682" s="81"/>
      <c r="AQ682" s="81"/>
      <c r="AR682" s="81"/>
      <c r="AS682" s="81"/>
      <c r="AT682" s="81"/>
      <c r="AU682" s="81"/>
      <c r="AV682" s="82"/>
      <c r="AW682" s="81"/>
      <c r="AX682" s="81"/>
      <c r="AY682" s="81"/>
      <c r="AZ682" s="81"/>
      <c r="BA682" s="81"/>
      <c r="BB682" s="81"/>
      <c r="BC682" s="81"/>
      <c r="BD682" s="81"/>
      <c r="BE682" s="81"/>
      <c r="BF682" s="81"/>
      <c r="BG682" s="81"/>
      <c r="BH682" s="81"/>
      <c r="BI682" s="81"/>
      <c r="BJ682" s="81"/>
      <c r="BK682" s="82">
        <v>0</v>
      </c>
      <c r="BL682" s="82">
        <v>0</v>
      </c>
      <c r="BM682" s="82">
        <v>0</v>
      </c>
      <c r="BN682" s="81">
        <f t="shared" si="3148"/>
        <v>0</v>
      </c>
      <c r="BO682" s="75">
        <f t="shared" si="3149"/>
        <v>0</v>
      </c>
      <c r="BP682" s="81">
        <f t="shared" si="3150"/>
        <v>0</v>
      </c>
      <c r="BQ682" s="81">
        <f t="shared" si="3151"/>
        <v>0</v>
      </c>
      <c r="BR682" s="81">
        <f t="shared" si="3152"/>
        <v>410</v>
      </c>
      <c r="BS682" s="81">
        <f t="shared" si="3153"/>
        <v>410</v>
      </c>
      <c r="BT682" s="81">
        <f t="shared" si="3154"/>
        <v>0</v>
      </c>
      <c r="BU682" s="81">
        <f t="shared" si="3155"/>
        <v>0</v>
      </c>
      <c r="BV682" s="81">
        <f t="shared" si="3156"/>
        <v>410</v>
      </c>
      <c r="BW682" s="81">
        <f t="shared" si="3157"/>
        <v>410</v>
      </c>
      <c r="BX682" s="1"/>
      <c r="BY682" s="1"/>
      <c r="BZ682" s="1"/>
      <c r="CA682" s="1"/>
      <c r="CB682" s="1"/>
      <c r="CC682" s="1"/>
      <c r="CD682" s="1"/>
      <c r="CE682" s="1"/>
      <c r="CF682" s="1"/>
      <c r="CG682" s="1"/>
    </row>
    <row r="683" spans="1:85" ht="15.75" customHeight="1">
      <c r="A683" s="176" t="s">
        <v>1046</v>
      </c>
      <c r="B683" s="132"/>
      <c r="C683" s="129" t="s">
        <v>435</v>
      </c>
      <c r="D683" s="412" t="s">
        <v>1047</v>
      </c>
      <c r="E683" s="70"/>
      <c r="F683" s="71"/>
      <c r="G683" s="71">
        <f t="shared" si="3141"/>
        <v>0</v>
      </c>
      <c r="H683" s="70"/>
      <c r="I683" s="72">
        <f t="shared" si="2631"/>
        <v>0</v>
      </c>
      <c r="J683" s="72">
        <f t="shared" si="2632"/>
        <v>0</v>
      </c>
      <c r="K683" s="94"/>
      <c r="L683" s="409"/>
      <c r="M683" s="75"/>
      <c r="N683" s="94">
        <v>73990</v>
      </c>
      <c r="O683" s="77">
        <f t="shared" ref="O683:Q683" si="3191">AA683+AD683+AG683+AJ683+AM683+AP683+AS683+AV683+AY683+BB683+BE683+BH683</f>
        <v>0</v>
      </c>
      <c r="P683" s="77">
        <f t="shared" si="3191"/>
        <v>0</v>
      </c>
      <c r="Q683" s="77">
        <f t="shared" si="3191"/>
        <v>0</v>
      </c>
      <c r="R683" s="77">
        <f t="shared" ref="R683:T683" si="3192">IF(BK683=0,SUM(AA683+AD683+AG683+AJ683+AM683+AP683+AS683+AV683+AY683+BB683+BE683+BH683),BK683)</f>
        <v>0</v>
      </c>
      <c r="S683" s="77">
        <f t="shared" si="3192"/>
        <v>0</v>
      </c>
      <c r="T683" s="77">
        <f t="shared" si="3192"/>
        <v>0</v>
      </c>
      <c r="U683" s="79">
        <f t="shared" si="3144"/>
        <v>0</v>
      </c>
      <c r="V683" s="79">
        <f t="shared" si="3145"/>
        <v>0</v>
      </c>
      <c r="W683" s="78">
        <f t="shared" si="3146"/>
        <v>73990</v>
      </c>
      <c r="X683" s="80">
        <f t="shared" ref="X683:Y683" si="3193">IF(O683&gt;0,O683/K683,0)</f>
        <v>0</v>
      </c>
      <c r="Y683" s="80">
        <f t="shared" si="3193"/>
        <v>0</v>
      </c>
      <c r="Z683" s="80">
        <f t="shared" si="2391"/>
        <v>0</v>
      </c>
      <c r="AA683" s="81"/>
      <c r="AB683" s="82"/>
      <c r="AC683" s="81"/>
      <c r="AD683" s="81"/>
      <c r="AE683" s="83"/>
      <c r="AF683" s="83"/>
      <c r="AG683" s="83"/>
      <c r="AH683" s="83"/>
      <c r="AI683" s="81"/>
      <c r="AJ683" s="81"/>
      <c r="AK683" s="81"/>
      <c r="AL683" s="81"/>
      <c r="AM683" s="81"/>
      <c r="AN683" s="81"/>
      <c r="AO683" s="81"/>
      <c r="AP683" s="81"/>
      <c r="AQ683" s="81"/>
      <c r="AR683" s="81"/>
      <c r="AS683" s="81"/>
      <c r="AT683" s="81"/>
      <c r="AU683" s="81"/>
      <c r="AV683" s="82"/>
      <c r="AW683" s="81"/>
      <c r="AX683" s="81"/>
      <c r="AY683" s="81"/>
      <c r="AZ683" s="81"/>
      <c r="BA683" s="81"/>
      <c r="BB683" s="81"/>
      <c r="BC683" s="81"/>
      <c r="BD683" s="81"/>
      <c r="BE683" s="81"/>
      <c r="BF683" s="81"/>
      <c r="BG683" s="81"/>
      <c r="BH683" s="81"/>
      <c r="BI683" s="81"/>
      <c r="BJ683" s="81"/>
      <c r="BK683" s="82">
        <v>0</v>
      </c>
      <c r="BL683" s="82">
        <v>0</v>
      </c>
      <c r="BM683" s="82">
        <v>0</v>
      </c>
      <c r="BN683" s="81">
        <f t="shared" si="3148"/>
        <v>0</v>
      </c>
      <c r="BO683" s="75">
        <f t="shared" si="3149"/>
        <v>0</v>
      </c>
      <c r="BP683" s="81">
        <f t="shared" si="3150"/>
        <v>0</v>
      </c>
      <c r="BQ683" s="81">
        <f t="shared" si="3151"/>
        <v>0</v>
      </c>
      <c r="BR683" s="81">
        <f t="shared" si="3152"/>
        <v>73990</v>
      </c>
      <c r="BS683" s="81">
        <f t="shared" si="3153"/>
        <v>73990</v>
      </c>
      <c r="BT683" s="81">
        <f t="shared" si="3154"/>
        <v>0</v>
      </c>
      <c r="BU683" s="81">
        <f t="shared" si="3155"/>
        <v>0</v>
      </c>
      <c r="BV683" s="81">
        <f t="shared" si="3156"/>
        <v>73990</v>
      </c>
      <c r="BW683" s="81">
        <f t="shared" si="3157"/>
        <v>73990</v>
      </c>
      <c r="BX683" s="1"/>
      <c r="BY683" s="1"/>
      <c r="BZ683" s="1"/>
      <c r="CA683" s="1"/>
      <c r="CB683" s="1"/>
      <c r="CC683" s="1"/>
      <c r="CD683" s="1"/>
      <c r="CE683" s="1"/>
      <c r="CF683" s="1"/>
      <c r="CG683" s="1"/>
    </row>
    <row r="684" spans="1:85" ht="15.75" customHeight="1">
      <c r="A684" s="176" t="s">
        <v>1048</v>
      </c>
      <c r="B684" s="132"/>
      <c r="C684" s="129" t="s">
        <v>561</v>
      </c>
      <c r="D684" s="412" t="s">
        <v>1049</v>
      </c>
      <c r="E684" s="70"/>
      <c r="F684" s="71"/>
      <c r="G684" s="71">
        <f t="shared" si="3141"/>
        <v>0</v>
      </c>
      <c r="H684" s="70"/>
      <c r="I684" s="72">
        <f t="shared" si="2631"/>
        <v>0</v>
      </c>
      <c r="J684" s="72">
        <f t="shared" si="2632"/>
        <v>0</v>
      </c>
      <c r="K684" s="94"/>
      <c r="L684" s="409"/>
      <c r="M684" s="75"/>
      <c r="N684" s="94">
        <v>10679.99</v>
      </c>
      <c r="O684" s="77">
        <f t="shared" ref="O684:Q684" si="3194">AA684+AD684+AG684+AJ684+AM684+AP684+AS684+AV684+AY684+BB684+BE684+BH684</f>
        <v>0</v>
      </c>
      <c r="P684" s="77">
        <f t="shared" si="3194"/>
        <v>0</v>
      </c>
      <c r="Q684" s="77">
        <f t="shared" si="3194"/>
        <v>0</v>
      </c>
      <c r="R684" s="77">
        <f t="shared" ref="R684:T684" si="3195">IF(BK684=0,SUM(AA684+AD684+AG684+AJ684+AM684+AP684+AS684+AV684+AY684+BB684+BE684+BH684),BK684)</f>
        <v>0</v>
      </c>
      <c r="S684" s="77">
        <f t="shared" si="3195"/>
        <v>0</v>
      </c>
      <c r="T684" s="77">
        <f t="shared" si="3195"/>
        <v>0</v>
      </c>
      <c r="U684" s="79">
        <f t="shared" si="3144"/>
        <v>0</v>
      </c>
      <c r="V684" s="79">
        <f t="shared" si="3145"/>
        <v>0</v>
      </c>
      <c r="W684" s="78">
        <f t="shared" si="3146"/>
        <v>10679.99</v>
      </c>
      <c r="X684" s="80">
        <f t="shared" ref="X684:Y684" si="3196">IF(O684&gt;0,O684/K684,0)</f>
        <v>0</v>
      </c>
      <c r="Y684" s="80">
        <f t="shared" si="3196"/>
        <v>0</v>
      </c>
      <c r="Z684" s="80">
        <f t="shared" si="2391"/>
        <v>0</v>
      </c>
      <c r="AA684" s="81"/>
      <c r="AB684" s="82"/>
      <c r="AC684" s="81"/>
      <c r="AD684" s="81"/>
      <c r="AE684" s="83"/>
      <c r="AF684" s="83"/>
      <c r="AG684" s="83"/>
      <c r="AH684" s="83"/>
      <c r="AI684" s="81"/>
      <c r="AJ684" s="81"/>
      <c r="AK684" s="81"/>
      <c r="AL684" s="81"/>
      <c r="AM684" s="81"/>
      <c r="AN684" s="81"/>
      <c r="AO684" s="81"/>
      <c r="AP684" s="81"/>
      <c r="AQ684" s="81"/>
      <c r="AR684" s="81"/>
      <c r="AS684" s="81"/>
      <c r="AT684" s="81"/>
      <c r="AU684" s="81"/>
      <c r="AV684" s="82"/>
      <c r="AW684" s="81"/>
      <c r="AX684" s="81"/>
      <c r="AY684" s="81"/>
      <c r="AZ684" s="81"/>
      <c r="BA684" s="81"/>
      <c r="BB684" s="81"/>
      <c r="BC684" s="81"/>
      <c r="BD684" s="81"/>
      <c r="BE684" s="81"/>
      <c r="BF684" s="81"/>
      <c r="BG684" s="81"/>
      <c r="BH684" s="81"/>
      <c r="BI684" s="81"/>
      <c r="BJ684" s="81"/>
      <c r="BK684" s="82">
        <v>0</v>
      </c>
      <c r="BL684" s="82">
        <v>0</v>
      </c>
      <c r="BM684" s="82">
        <v>0</v>
      </c>
      <c r="BN684" s="81">
        <f t="shared" si="3148"/>
        <v>0</v>
      </c>
      <c r="BO684" s="75">
        <f t="shared" si="3149"/>
        <v>0</v>
      </c>
      <c r="BP684" s="81">
        <f t="shared" si="3150"/>
        <v>0</v>
      </c>
      <c r="BQ684" s="81">
        <f t="shared" si="3151"/>
        <v>0</v>
      </c>
      <c r="BR684" s="81">
        <f t="shared" si="3152"/>
        <v>10679.99</v>
      </c>
      <c r="BS684" s="81">
        <f t="shared" si="3153"/>
        <v>10679.99</v>
      </c>
      <c r="BT684" s="81">
        <f t="shared" si="3154"/>
        <v>0</v>
      </c>
      <c r="BU684" s="81">
        <f t="shared" si="3155"/>
        <v>0</v>
      </c>
      <c r="BV684" s="81">
        <f t="shared" si="3156"/>
        <v>10679.99</v>
      </c>
      <c r="BW684" s="81">
        <f t="shared" si="3157"/>
        <v>10679.99</v>
      </c>
      <c r="BX684" s="1"/>
      <c r="BY684" s="1"/>
      <c r="BZ684" s="1"/>
      <c r="CA684" s="1"/>
      <c r="CB684" s="1"/>
      <c r="CC684" s="1"/>
      <c r="CD684" s="1"/>
      <c r="CE684" s="1"/>
      <c r="CF684" s="1"/>
      <c r="CG684" s="1"/>
    </row>
    <row r="685" spans="1:85" ht="15.75">
      <c r="A685" s="109"/>
      <c r="B685" s="110"/>
      <c r="C685" s="111"/>
      <c r="D685" s="112" t="s">
        <v>544</v>
      </c>
      <c r="E685" s="58">
        <f t="shared" ref="E685:H685" si="3197">SUM(E686:E688)</f>
        <v>0</v>
      </c>
      <c r="F685" s="58">
        <f t="shared" si="3197"/>
        <v>0</v>
      </c>
      <c r="G685" s="58">
        <f t="shared" si="3197"/>
        <v>0</v>
      </c>
      <c r="H685" s="58">
        <f t="shared" si="3197"/>
        <v>0</v>
      </c>
      <c r="I685" s="60">
        <f t="shared" si="2631"/>
        <v>0</v>
      </c>
      <c r="J685" s="60">
        <f t="shared" si="2632"/>
        <v>0</v>
      </c>
      <c r="K685" s="58">
        <f t="shared" ref="K685:W685" si="3198">SUM(K686:K688)</f>
        <v>0</v>
      </c>
      <c r="L685" s="58">
        <f t="shared" si="3198"/>
        <v>0</v>
      </c>
      <c r="M685" s="58">
        <f t="shared" si="3198"/>
        <v>0</v>
      </c>
      <c r="N685" s="58">
        <f t="shared" si="3198"/>
        <v>194504</v>
      </c>
      <c r="O685" s="58">
        <f t="shared" si="3198"/>
        <v>0</v>
      </c>
      <c r="P685" s="58">
        <f t="shared" si="3198"/>
        <v>0</v>
      </c>
      <c r="Q685" s="58">
        <f t="shared" si="3198"/>
        <v>8804</v>
      </c>
      <c r="R685" s="58">
        <f t="shared" si="3198"/>
        <v>0</v>
      </c>
      <c r="S685" s="58">
        <f t="shared" si="3198"/>
        <v>0</v>
      </c>
      <c r="T685" s="58">
        <f t="shared" si="3198"/>
        <v>9.9999999999999995E-8</v>
      </c>
      <c r="U685" s="58">
        <f t="shared" si="3198"/>
        <v>0</v>
      </c>
      <c r="V685" s="58">
        <f t="shared" si="3198"/>
        <v>0</v>
      </c>
      <c r="W685" s="58">
        <f t="shared" si="3198"/>
        <v>185700</v>
      </c>
      <c r="X685" s="63">
        <f t="shared" ref="X685:Y685" si="3199">IF(O685&gt;0,O685/K685,0)</f>
        <v>0</v>
      </c>
      <c r="Y685" s="63">
        <f t="shared" si="3199"/>
        <v>0</v>
      </c>
      <c r="Z685" s="63">
        <f t="shared" si="2391"/>
        <v>4.5263850614897377E-2</v>
      </c>
      <c r="AA685" s="58">
        <f t="shared" ref="AA685:BW685" si="3200">SUM(AA686:AA688)</f>
        <v>0</v>
      </c>
      <c r="AB685" s="58">
        <f t="shared" si="3200"/>
        <v>0</v>
      </c>
      <c r="AC685" s="58">
        <f t="shared" si="3200"/>
        <v>0</v>
      </c>
      <c r="AD685" s="58">
        <f t="shared" si="3200"/>
        <v>0</v>
      </c>
      <c r="AE685" s="58">
        <f t="shared" si="3200"/>
        <v>0</v>
      </c>
      <c r="AF685" s="58">
        <f t="shared" si="3200"/>
        <v>0</v>
      </c>
      <c r="AG685" s="58">
        <f t="shared" si="3200"/>
        <v>0</v>
      </c>
      <c r="AH685" s="58">
        <f t="shared" si="3200"/>
        <v>0</v>
      </c>
      <c r="AI685" s="58">
        <f t="shared" si="3200"/>
        <v>0</v>
      </c>
      <c r="AJ685" s="58">
        <f t="shared" si="3200"/>
        <v>0</v>
      </c>
      <c r="AK685" s="58">
        <f t="shared" si="3200"/>
        <v>0</v>
      </c>
      <c r="AL685" s="58">
        <f t="shared" si="3200"/>
        <v>0</v>
      </c>
      <c r="AM685" s="58">
        <f t="shared" si="3200"/>
        <v>0</v>
      </c>
      <c r="AN685" s="58">
        <f t="shared" si="3200"/>
        <v>0</v>
      </c>
      <c r="AO685" s="58">
        <f t="shared" si="3200"/>
        <v>0</v>
      </c>
      <c r="AP685" s="58">
        <f t="shared" si="3200"/>
        <v>0</v>
      </c>
      <c r="AQ685" s="58">
        <f t="shared" si="3200"/>
        <v>0</v>
      </c>
      <c r="AR685" s="58">
        <f t="shared" si="3200"/>
        <v>0</v>
      </c>
      <c r="AS685" s="58">
        <f t="shared" si="3200"/>
        <v>0</v>
      </c>
      <c r="AT685" s="58">
        <f t="shared" si="3200"/>
        <v>0</v>
      </c>
      <c r="AU685" s="58">
        <f t="shared" si="3200"/>
        <v>0</v>
      </c>
      <c r="AV685" s="58">
        <f t="shared" si="3200"/>
        <v>0</v>
      </c>
      <c r="AW685" s="58">
        <f t="shared" si="3200"/>
        <v>0</v>
      </c>
      <c r="AX685" s="58">
        <f t="shared" si="3200"/>
        <v>0</v>
      </c>
      <c r="AY685" s="58">
        <f t="shared" si="3200"/>
        <v>0</v>
      </c>
      <c r="AZ685" s="58">
        <f t="shared" si="3200"/>
        <v>0</v>
      </c>
      <c r="BA685" s="58">
        <f t="shared" si="3200"/>
        <v>0</v>
      </c>
      <c r="BB685" s="58">
        <f t="shared" si="3200"/>
        <v>0</v>
      </c>
      <c r="BC685" s="58">
        <f t="shared" si="3200"/>
        <v>0</v>
      </c>
      <c r="BD685" s="58">
        <f t="shared" si="3200"/>
        <v>0</v>
      </c>
      <c r="BE685" s="58">
        <f t="shared" si="3200"/>
        <v>0</v>
      </c>
      <c r="BF685" s="58">
        <f t="shared" si="3200"/>
        <v>0</v>
      </c>
      <c r="BG685" s="58">
        <f t="shared" si="3200"/>
        <v>0</v>
      </c>
      <c r="BH685" s="58">
        <f t="shared" si="3200"/>
        <v>0</v>
      </c>
      <c r="BI685" s="58">
        <f t="shared" si="3200"/>
        <v>0</v>
      </c>
      <c r="BJ685" s="58">
        <f t="shared" si="3200"/>
        <v>8804</v>
      </c>
      <c r="BK685" s="58">
        <f t="shared" si="3200"/>
        <v>0</v>
      </c>
      <c r="BL685" s="58">
        <f t="shared" si="3200"/>
        <v>0</v>
      </c>
      <c r="BM685" s="58">
        <f t="shared" si="3200"/>
        <v>9.9999999999999995E-8</v>
      </c>
      <c r="BN685" s="58">
        <f t="shared" si="3200"/>
        <v>0</v>
      </c>
      <c r="BO685" s="58">
        <f t="shared" si="3200"/>
        <v>8803.9999998999992</v>
      </c>
      <c r="BP685" s="58">
        <f t="shared" si="3200"/>
        <v>8803.9999998999992</v>
      </c>
      <c r="BQ685" s="58">
        <f t="shared" si="3200"/>
        <v>0</v>
      </c>
      <c r="BR685" s="58">
        <f t="shared" si="3200"/>
        <v>185700</v>
      </c>
      <c r="BS685" s="58">
        <f t="shared" si="3200"/>
        <v>185700</v>
      </c>
      <c r="BT685" s="58">
        <f t="shared" si="3200"/>
        <v>0</v>
      </c>
      <c r="BU685" s="58">
        <f t="shared" si="3200"/>
        <v>8803.9999998999992</v>
      </c>
      <c r="BV685" s="58">
        <f t="shared" si="3200"/>
        <v>185700</v>
      </c>
      <c r="BW685" s="58">
        <f t="shared" si="3200"/>
        <v>194503.9999999</v>
      </c>
      <c r="BX685" s="65"/>
      <c r="BY685" s="65"/>
      <c r="BZ685" s="65"/>
      <c r="CA685" s="65"/>
      <c r="CB685" s="65"/>
      <c r="CC685" s="65"/>
      <c r="CD685" s="65"/>
      <c r="CE685" s="65"/>
      <c r="CF685" s="65"/>
      <c r="CG685" s="65"/>
    </row>
    <row r="686" spans="1:85" ht="15.75" customHeight="1">
      <c r="A686" s="134" t="s">
        <v>1050</v>
      </c>
      <c r="B686" s="132"/>
      <c r="C686" s="129" t="s">
        <v>1051</v>
      </c>
      <c r="D686" s="412" t="s">
        <v>1052</v>
      </c>
      <c r="E686" s="70"/>
      <c r="F686" s="71"/>
      <c r="G686" s="71">
        <f t="shared" ref="G686:G688" si="3201">E686-F686</f>
        <v>0</v>
      </c>
      <c r="H686" s="70"/>
      <c r="I686" s="72">
        <f t="shared" si="2631"/>
        <v>0</v>
      </c>
      <c r="J686" s="72">
        <f t="shared" si="2632"/>
        <v>0</v>
      </c>
      <c r="K686" s="76"/>
      <c r="L686" s="75"/>
      <c r="M686" s="75"/>
      <c r="N686" s="94">
        <v>8804</v>
      </c>
      <c r="O686" s="77">
        <f t="shared" ref="O686:Q686" si="3202">AA686+AD686+AG686+AJ686+AM686+AP686+AS686+AV686+AY686+BB686+BE686+BH686</f>
        <v>0</v>
      </c>
      <c r="P686" s="77">
        <f t="shared" si="3202"/>
        <v>0</v>
      </c>
      <c r="Q686" s="77">
        <f t="shared" si="3202"/>
        <v>8804</v>
      </c>
      <c r="R686" s="77">
        <f t="shared" ref="R686:T686" si="3203">IF(BK686=0,SUM(AA686+AD686+AG686+AJ686+AM686+AP686+AS686+AV686+AY686+BB686+BE686+BH686),BK686)</f>
        <v>0</v>
      </c>
      <c r="S686" s="77">
        <f t="shared" si="3203"/>
        <v>0</v>
      </c>
      <c r="T686" s="77">
        <f t="shared" si="3203"/>
        <v>9.9999999999999995E-8</v>
      </c>
      <c r="U686" s="79">
        <f t="shared" ref="U686:U688" si="3204">K686-O686</f>
        <v>0</v>
      </c>
      <c r="V686" s="79">
        <f t="shared" ref="V686:V688" si="3205">L686-M686-S686</f>
        <v>0</v>
      </c>
      <c r="W686" s="78">
        <f t="shared" ref="W686:W688" si="3206">N686-Q686</f>
        <v>0</v>
      </c>
      <c r="X686" s="80">
        <f t="shared" ref="X686:Y686" si="3207">IF(O686&gt;0,O686/K686,0)</f>
        <v>0</v>
      </c>
      <c r="Y686" s="80">
        <f t="shared" si="3207"/>
        <v>0</v>
      </c>
      <c r="Z686" s="80">
        <f t="shared" si="2391"/>
        <v>1</v>
      </c>
      <c r="AA686" s="81"/>
      <c r="AB686" s="81"/>
      <c r="AC686" s="81"/>
      <c r="AD686" s="81"/>
      <c r="AE686" s="83"/>
      <c r="AF686" s="83"/>
      <c r="AG686" s="83"/>
      <c r="AH686" s="83"/>
      <c r="AI686" s="81"/>
      <c r="AJ686" s="81"/>
      <c r="AK686" s="81"/>
      <c r="AL686" s="81"/>
      <c r="AM686" s="81"/>
      <c r="AN686" s="81"/>
      <c r="AO686" s="81"/>
      <c r="AP686" s="81"/>
      <c r="AQ686" s="81"/>
      <c r="AR686" s="81"/>
      <c r="AS686" s="81"/>
      <c r="AT686" s="81"/>
      <c r="AU686" s="81"/>
      <c r="AV686" s="81"/>
      <c r="AW686" s="81"/>
      <c r="AX686" s="81"/>
      <c r="AY686" s="81"/>
      <c r="AZ686" s="81"/>
      <c r="BA686" s="81"/>
      <c r="BB686" s="81"/>
      <c r="BC686" s="81"/>
      <c r="BD686" s="81"/>
      <c r="BE686" s="81"/>
      <c r="BF686" s="81"/>
      <c r="BG686" s="81"/>
      <c r="BH686" s="81"/>
      <c r="BI686" s="81"/>
      <c r="BJ686" s="82">
        <v>8804</v>
      </c>
      <c r="BK686" s="82">
        <v>0</v>
      </c>
      <c r="BL686" s="82">
        <v>0</v>
      </c>
      <c r="BM686" s="82">
        <v>9.9999999999999995E-8</v>
      </c>
      <c r="BN686" s="81">
        <f t="shared" ref="BN686:BN688" si="3208">IF(O686-BK686&gt;0,O686-BK686,0)</f>
        <v>0</v>
      </c>
      <c r="BO686" s="210">
        <f t="shared" ref="BO686:BO688" si="3209">IF(Q686-BM686&gt;0,Q686-BM686,0)</f>
        <v>8803.9999998999992</v>
      </c>
      <c r="BP686" s="81">
        <f t="shared" ref="BP686:BP688" si="3210">IF(BN686+BO686&gt;0,BN686+BO686,0)</f>
        <v>8803.9999998999992</v>
      </c>
      <c r="BQ686" s="81">
        <f t="shared" ref="BQ686:BQ688" si="3211">IF(U686=0,0,U686)</f>
        <v>0</v>
      </c>
      <c r="BR686" s="81">
        <f t="shared" ref="BR686:BR688" si="3212">IF(W686=0,0,W686)</f>
        <v>0</v>
      </c>
      <c r="BS686" s="81">
        <f t="shared" ref="BS686:BS688" si="3213">IF(BQ686+BR686&gt;0,BQ686+BR686,0)</f>
        <v>0</v>
      </c>
      <c r="BT686" s="81">
        <f t="shared" ref="BT686:BT688" si="3214">IF(V686&gt;0,V686,0)</f>
        <v>0</v>
      </c>
      <c r="BU686" s="81">
        <f t="shared" ref="BU686:BU688" si="3215">IF(BP686=0,0,BP686)</f>
        <v>8803.9999998999992</v>
      </c>
      <c r="BV686" s="81">
        <f t="shared" ref="BV686:BV688" si="3216">IF(BS686=0,0,BS686)</f>
        <v>0</v>
      </c>
      <c r="BW686" s="81">
        <f t="shared" ref="BW686:BW688" si="3217">IF(BP686+BT686+BV686&gt;0,BP686+BT686+BV686,0)</f>
        <v>8803.9999998999992</v>
      </c>
      <c r="BX686" s="1"/>
      <c r="BY686" s="1"/>
      <c r="BZ686" s="1"/>
      <c r="CA686" s="1"/>
      <c r="CB686" s="1"/>
      <c r="CC686" s="1"/>
      <c r="CD686" s="1"/>
      <c r="CE686" s="1"/>
      <c r="CF686" s="1"/>
      <c r="CG686" s="1"/>
    </row>
    <row r="687" spans="1:85" ht="15.75" customHeight="1">
      <c r="A687" s="134" t="s">
        <v>1053</v>
      </c>
      <c r="B687" s="132"/>
      <c r="C687" s="129" t="s">
        <v>1054</v>
      </c>
      <c r="D687" s="412" t="s">
        <v>1055</v>
      </c>
      <c r="E687" s="70"/>
      <c r="F687" s="71"/>
      <c r="G687" s="71">
        <f t="shared" si="3201"/>
        <v>0</v>
      </c>
      <c r="H687" s="70"/>
      <c r="I687" s="72">
        <f t="shared" si="2631"/>
        <v>0</v>
      </c>
      <c r="J687" s="72">
        <f t="shared" si="2632"/>
        <v>0</v>
      </c>
      <c r="K687" s="94"/>
      <c r="L687" s="409"/>
      <c r="M687" s="75"/>
      <c r="N687" s="94">
        <v>79800</v>
      </c>
      <c r="O687" s="77">
        <f t="shared" ref="O687:Q687" si="3218">AA687+AD687+AG687+AJ687+AM687+AP687+AS687+AV687+AY687+BB687+BE687+BH687</f>
        <v>0</v>
      </c>
      <c r="P687" s="77">
        <f t="shared" si="3218"/>
        <v>0</v>
      </c>
      <c r="Q687" s="77">
        <f t="shared" si="3218"/>
        <v>0</v>
      </c>
      <c r="R687" s="77">
        <f t="shared" ref="R687:T687" si="3219">IF(BK687=0,SUM(AA687+AD687+AG687+AJ687+AM687+AP687+AS687+AV687+AY687+BB687+BE687+BH687),BK687)</f>
        <v>0</v>
      </c>
      <c r="S687" s="77">
        <f t="shared" si="3219"/>
        <v>0</v>
      </c>
      <c r="T687" s="77">
        <f t="shared" si="3219"/>
        <v>0</v>
      </c>
      <c r="U687" s="79">
        <f t="shared" si="3204"/>
        <v>0</v>
      </c>
      <c r="V687" s="79">
        <f t="shared" si="3205"/>
        <v>0</v>
      </c>
      <c r="W687" s="78">
        <f t="shared" si="3206"/>
        <v>79800</v>
      </c>
      <c r="X687" s="80">
        <f t="shared" ref="X687:Y687" si="3220">IF(O687&gt;0,O687/K687,0)</f>
        <v>0</v>
      </c>
      <c r="Y687" s="80">
        <f t="shared" si="3220"/>
        <v>0</v>
      </c>
      <c r="Z687" s="80">
        <f t="shared" si="2391"/>
        <v>0</v>
      </c>
      <c r="AA687" s="81"/>
      <c r="AB687" s="82"/>
      <c r="AC687" s="81"/>
      <c r="AD687" s="81"/>
      <c r="AE687" s="83"/>
      <c r="AF687" s="83"/>
      <c r="AG687" s="83"/>
      <c r="AH687" s="83"/>
      <c r="AI687" s="81"/>
      <c r="AJ687" s="81"/>
      <c r="AK687" s="81"/>
      <c r="AL687" s="81"/>
      <c r="AM687" s="81"/>
      <c r="AN687" s="81"/>
      <c r="AO687" s="81"/>
      <c r="AP687" s="81"/>
      <c r="AQ687" s="81"/>
      <c r="AR687" s="81"/>
      <c r="AS687" s="81"/>
      <c r="AT687" s="81"/>
      <c r="AU687" s="81"/>
      <c r="AV687" s="82"/>
      <c r="AW687" s="81"/>
      <c r="AX687" s="81"/>
      <c r="AY687" s="81"/>
      <c r="AZ687" s="81"/>
      <c r="BA687" s="81"/>
      <c r="BB687" s="81"/>
      <c r="BC687" s="81"/>
      <c r="BD687" s="81"/>
      <c r="BE687" s="81"/>
      <c r="BF687" s="81"/>
      <c r="BG687" s="81"/>
      <c r="BH687" s="81"/>
      <c r="BI687" s="81"/>
      <c r="BJ687" s="81"/>
      <c r="BK687" s="82">
        <v>0</v>
      </c>
      <c r="BL687" s="82">
        <v>0</v>
      </c>
      <c r="BM687" s="82">
        <v>0</v>
      </c>
      <c r="BN687" s="81">
        <f t="shared" si="3208"/>
        <v>0</v>
      </c>
      <c r="BO687" s="75">
        <f t="shared" si="3209"/>
        <v>0</v>
      </c>
      <c r="BP687" s="81">
        <f t="shared" si="3210"/>
        <v>0</v>
      </c>
      <c r="BQ687" s="81">
        <f t="shared" si="3211"/>
        <v>0</v>
      </c>
      <c r="BR687" s="81">
        <f t="shared" si="3212"/>
        <v>79800</v>
      </c>
      <c r="BS687" s="81">
        <f t="shared" si="3213"/>
        <v>79800</v>
      </c>
      <c r="BT687" s="81">
        <f t="shared" si="3214"/>
        <v>0</v>
      </c>
      <c r="BU687" s="81">
        <f t="shared" si="3215"/>
        <v>0</v>
      </c>
      <c r="BV687" s="81">
        <f t="shared" si="3216"/>
        <v>79800</v>
      </c>
      <c r="BW687" s="81">
        <f t="shared" si="3217"/>
        <v>79800</v>
      </c>
      <c r="BX687" s="1"/>
      <c r="BY687" s="1"/>
      <c r="BZ687" s="1"/>
      <c r="CA687" s="1"/>
      <c r="CB687" s="1"/>
      <c r="CC687" s="1"/>
      <c r="CD687" s="1"/>
      <c r="CE687" s="1"/>
      <c r="CF687" s="1"/>
      <c r="CG687" s="1"/>
    </row>
    <row r="688" spans="1:85" ht="15.75" customHeight="1">
      <c r="A688" s="176" t="s">
        <v>1056</v>
      </c>
      <c r="B688" s="132"/>
      <c r="C688" s="86" t="s">
        <v>1013</v>
      </c>
      <c r="D688" s="412" t="s">
        <v>1057</v>
      </c>
      <c r="E688" s="70"/>
      <c r="F688" s="71"/>
      <c r="G688" s="71">
        <f t="shared" si="3201"/>
        <v>0</v>
      </c>
      <c r="H688" s="70"/>
      <c r="I688" s="72">
        <f t="shared" si="2631"/>
        <v>0</v>
      </c>
      <c r="J688" s="72">
        <f t="shared" si="2632"/>
        <v>0</v>
      </c>
      <c r="K688" s="76"/>
      <c r="L688" s="75"/>
      <c r="M688" s="75"/>
      <c r="N688" s="94">
        <v>105900</v>
      </c>
      <c r="O688" s="77">
        <f t="shared" ref="O688:Q688" si="3221">AA688+AD688+AG688+AJ688+AM688+AP688+AS688+AV688+AY688+BB688+BE688+BH688</f>
        <v>0</v>
      </c>
      <c r="P688" s="77">
        <f t="shared" si="3221"/>
        <v>0</v>
      </c>
      <c r="Q688" s="77">
        <f t="shared" si="3221"/>
        <v>0</v>
      </c>
      <c r="R688" s="77">
        <f t="shared" ref="R688:T688" si="3222">IF(BK688=0,SUM(AA688+AD688+AG688+AJ688+AM688+AP688+AS688+AV688+AY688+BB688+BE688+BH688),BK688)</f>
        <v>0</v>
      </c>
      <c r="S688" s="77">
        <f t="shared" si="3222"/>
        <v>0</v>
      </c>
      <c r="T688" s="77">
        <f t="shared" si="3222"/>
        <v>0</v>
      </c>
      <c r="U688" s="78">
        <f t="shared" si="3204"/>
        <v>0</v>
      </c>
      <c r="V688" s="79">
        <f t="shared" si="3205"/>
        <v>0</v>
      </c>
      <c r="W688" s="78">
        <f t="shared" si="3206"/>
        <v>105900</v>
      </c>
      <c r="X688" s="80">
        <f t="shared" ref="X688:Y688" si="3223">IF(O688&gt;0,O688/K688,0)</f>
        <v>0</v>
      </c>
      <c r="Y688" s="80">
        <f t="shared" si="3223"/>
        <v>0</v>
      </c>
      <c r="Z688" s="80">
        <f t="shared" si="2391"/>
        <v>0</v>
      </c>
      <c r="AA688" s="81"/>
      <c r="AB688" s="82"/>
      <c r="AC688" s="81"/>
      <c r="AD688" s="81"/>
      <c r="AE688" s="83"/>
      <c r="AF688" s="83"/>
      <c r="AG688" s="83"/>
      <c r="AH688" s="83"/>
      <c r="AI688" s="81"/>
      <c r="AJ688" s="81"/>
      <c r="AK688" s="81"/>
      <c r="AL688" s="81"/>
      <c r="AM688" s="81"/>
      <c r="AN688" s="81"/>
      <c r="AO688" s="81"/>
      <c r="AP688" s="81"/>
      <c r="AQ688" s="81"/>
      <c r="AR688" s="81"/>
      <c r="AS688" s="81"/>
      <c r="AT688" s="81"/>
      <c r="AU688" s="81"/>
      <c r="AV688" s="81"/>
      <c r="AW688" s="81"/>
      <c r="AX688" s="81"/>
      <c r="AY688" s="81"/>
      <c r="AZ688" s="81"/>
      <c r="BA688" s="81"/>
      <c r="BB688" s="81"/>
      <c r="BC688" s="81"/>
      <c r="BD688" s="81"/>
      <c r="BE688" s="81"/>
      <c r="BF688" s="81"/>
      <c r="BG688" s="81"/>
      <c r="BH688" s="81"/>
      <c r="BI688" s="81"/>
      <c r="BJ688" s="81"/>
      <c r="BK688" s="82">
        <v>0</v>
      </c>
      <c r="BL688" s="82">
        <v>0</v>
      </c>
      <c r="BM688" s="82">
        <v>0</v>
      </c>
      <c r="BN688" s="81">
        <f t="shared" si="3208"/>
        <v>0</v>
      </c>
      <c r="BO688" s="75">
        <f t="shared" si="3209"/>
        <v>0</v>
      </c>
      <c r="BP688" s="81">
        <f t="shared" si="3210"/>
        <v>0</v>
      </c>
      <c r="BQ688" s="81">
        <f t="shared" si="3211"/>
        <v>0</v>
      </c>
      <c r="BR688" s="81">
        <f t="shared" si="3212"/>
        <v>105900</v>
      </c>
      <c r="BS688" s="81">
        <f t="shared" si="3213"/>
        <v>105900</v>
      </c>
      <c r="BT688" s="81">
        <f t="shared" si="3214"/>
        <v>0</v>
      </c>
      <c r="BU688" s="81">
        <f t="shared" si="3215"/>
        <v>0</v>
      </c>
      <c r="BV688" s="81">
        <f t="shared" si="3216"/>
        <v>105900</v>
      </c>
      <c r="BW688" s="81">
        <f t="shared" si="3217"/>
        <v>105900</v>
      </c>
      <c r="BX688" s="1"/>
      <c r="BY688" s="1"/>
      <c r="BZ688" s="1"/>
      <c r="CA688" s="1"/>
      <c r="CB688" s="1"/>
      <c r="CC688" s="1"/>
      <c r="CD688" s="1"/>
      <c r="CE688" s="1"/>
      <c r="CF688" s="1"/>
      <c r="CG688" s="1"/>
    </row>
    <row r="689" spans="1:85" ht="15.75">
      <c r="A689" s="109"/>
      <c r="B689" s="110"/>
      <c r="C689" s="111"/>
      <c r="D689" s="112" t="s">
        <v>397</v>
      </c>
      <c r="E689" s="58">
        <f t="shared" ref="E689:H689" si="3224">SUM(E690+E702+E704)</f>
        <v>0</v>
      </c>
      <c r="F689" s="58">
        <f t="shared" si="3224"/>
        <v>0</v>
      </c>
      <c r="G689" s="58">
        <f t="shared" si="3224"/>
        <v>0</v>
      </c>
      <c r="H689" s="58">
        <f t="shared" si="3224"/>
        <v>0</v>
      </c>
      <c r="I689" s="60">
        <f t="shared" si="2631"/>
        <v>0</v>
      </c>
      <c r="J689" s="60">
        <f t="shared" si="2632"/>
        <v>0</v>
      </c>
      <c r="K689" s="58">
        <f t="shared" ref="K689:W689" si="3225">SUM(K690+K702+K704)</f>
        <v>0</v>
      </c>
      <c r="L689" s="58">
        <f t="shared" si="3225"/>
        <v>0</v>
      </c>
      <c r="M689" s="58">
        <f t="shared" si="3225"/>
        <v>0</v>
      </c>
      <c r="N689" s="58">
        <f t="shared" si="3225"/>
        <v>464891.22</v>
      </c>
      <c r="O689" s="58">
        <f t="shared" si="3225"/>
        <v>0</v>
      </c>
      <c r="P689" s="58">
        <f t="shared" si="3225"/>
        <v>0</v>
      </c>
      <c r="Q689" s="58">
        <f t="shared" si="3225"/>
        <v>395912.52</v>
      </c>
      <c r="R689" s="58">
        <f t="shared" si="3225"/>
        <v>0</v>
      </c>
      <c r="S689" s="58">
        <f t="shared" si="3225"/>
        <v>0</v>
      </c>
      <c r="T689" s="58">
        <f t="shared" si="3225"/>
        <v>383363.04000000004</v>
      </c>
      <c r="U689" s="58">
        <f t="shared" si="3225"/>
        <v>0</v>
      </c>
      <c r="V689" s="58">
        <f t="shared" si="3225"/>
        <v>0</v>
      </c>
      <c r="W689" s="58">
        <f t="shared" si="3225"/>
        <v>68978.7</v>
      </c>
      <c r="X689" s="63">
        <f t="shared" ref="X689:Y689" si="3226">IF(O689&gt;0,O689/K689,0)</f>
        <v>0</v>
      </c>
      <c r="Y689" s="63">
        <f t="shared" si="3226"/>
        <v>0</v>
      </c>
      <c r="Z689" s="63">
        <f t="shared" si="2391"/>
        <v>0.85162399926589283</v>
      </c>
      <c r="AA689" s="58">
        <f t="shared" ref="AA689:BW689" si="3227">SUM(AA690+AA702+AA704)</f>
        <v>0</v>
      </c>
      <c r="AB689" s="58">
        <f t="shared" si="3227"/>
        <v>0</v>
      </c>
      <c r="AC689" s="58">
        <f t="shared" si="3227"/>
        <v>0</v>
      </c>
      <c r="AD689" s="58">
        <f t="shared" si="3227"/>
        <v>0</v>
      </c>
      <c r="AE689" s="58">
        <f t="shared" si="3227"/>
        <v>0</v>
      </c>
      <c r="AF689" s="58">
        <f t="shared" si="3227"/>
        <v>0</v>
      </c>
      <c r="AG689" s="58">
        <f t="shared" si="3227"/>
        <v>0</v>
      </c>
      <c r="AH689" s="58">
        <f t="shared" si="3227"/>
        <v>0</v>
      </c>
      <c r="AI689" s="58">
        <f t="shared" si="3227"/>
        <v>0</v>
      </c>
      <c r="AJ689" s="58">
        <f t="shared" si="3227"/>
        <v>0</v>
      </c>
      <c r="AK689" s="58">
        <f t="shared" si="3227"/>
        <v>0</v>
      </c>
      <c r="AL689" s="58">
        <f t="shared" si="3227"/>
        <v>0</v>
      </c>
      <c r="AM689" s="58">
        <f t="shared" si="3227"/>
        <v>0</v>
      </c>
      <c r="AN689" s="58">
        <f t="shared" si="3227"/>
        <v>0</v>
      </c>
      <c r="AO689" s="58">
        <f t="shared" si="3227"/>
        <v>0</v>
      </c>
      <c r="AP689" s="58">
        <f t="shared" si="3227"/>
        <v>0</v>
      </c>
      <c r="AQ689" s="58">
        <f t="shared" si="3227"/>
        <v>0</v>
      </c>
      <c r="AR689" s="58">
        <f t="shared" si="3227"/>
        <v>0</v>
      </c>
      <c r="AS689" s="58">
        <f t="shared" si="3227"/>
        <v>0</v>
      </c>
      <c r="AT689" s="58">
        <f t="shared" si="3227"/>
        <v>0</v>
      </c>
      <c r="AU689" s="58">
        <f t="shared" si="3227"/>
        <v>0</v>
      </c>
      <c r="AV689" s="58">
        <f t="shared" si="3227"/>
        <v>0</v>
      </c>
      <c r="AW689" s="58">
        <f t="shared" si="3227"/>
        <v>0</v>
      </c>
      <c r="AX689" s="58">
        <f t="shared" si="3227"/>
        <v>0</v>
      </c>
      <c r="AY689" s="58">
        <f t="shared" si="3227"/>
        <v>0</v>
      </c>
      <c r="AZ689" s="58">
        <f t="shared" si="3227"/>
        <v>0</v>
      </c>
      <c r="BA689" s="58">
        <f t="shared" si="3227"/>
        <v>0</v>
      </c>
      <c r="BB689" s="58">
        <f t="shared" si="3227"/>
        <v>0</v>
      </c>
      <c r="BC689" s="58">
        <f t="shared" si="3227"/>
        <v>0</v>
      </c>
      <c r="BD689" s="58">
        <f t="shared" si="3227"/>
        <v>7350</v>
      </c>
      <c r="BE689" s="58">
        <f t="shared" si="3227"/>
        <v>0</v>
      </c>
      <c r="BF689" s="58">
        <f t="shared" si="3227"/>
        <v>0</v>
      </c>
      <c r="BG689" s="58">
        <f t="shared" si="3227"/>
        <v>264976.40000000002</v>
      </c>
      <c r="BH689" s="58">
        <f t="shared" si="3227"/>
        <v>0</v>
      </c>
      <c r="BI689" s="58">
        <f t="shared" si="3227"/>
        <v>0</v>
      </c>
      <c r="BJ689" s="58">
        <f t="shared" si="3227"/>
        <v>123586.12</v>
      </c>
      <c r="BK689" s="58">
        <f t="shared" si="3227"/>
        <v>0</v>
      </c>
      <c r="BL689" s="58">
        <f t="shared" si="3227"/>
        <v>0</v>
      </c>
      <c r="BM689" s="58">
        <f t="shared" si="3227"/>
        <v>383363.04000000004</v>
      </c>
      <c r="BN689" s="58">
        <f t="shared" si="3227"/>
        <v>0</v>
      </c>
      <c r="BO689" s="58">
        <f t="shared" si="3227"/>
        <v>12549.479999999996</v>
      </c>
      <c r="BP689" s="58">
        <f t="shared" si="3227"/>
        <v>12549.479999999996</v>
      </c>
      <c r="BQ689" s="58">
        <f t="shared" si="3227"/>
        <v>0</v>
      </c>
      <c r="BR689" s="58">
        <f t="shared" si="3227"/>
        <v>68978.7</v>
      </c>
      <c r="BS689" s="58">
        <f t="shared" si="3227"/>
        <v>68978.7</v>
      </c>
      <c r="BT689" s="58">
        <f t="shared" si="3227"/>
        <v>0</v>
      </c>
      <c r="BU689" s="58">
        <f t="shared" si="3227"/>
        <v>12549.479999999996</v>
      </c>
      <c r="BV689" s="58">
        <f t="shared" si="3227"/>
        <v>68978.7</v>
      </c>
      <c r="BW689" s="58">
        <f t="shared" si="3227"/>
        <v>81528.179999999993</v>
      </c>
      <c r="BX689" s="65"/>
      <c r="BY689" s="65"/>
      <c r="BZ689" s="65"/>
      <c r="CA689" s="65"/>
      <c r="CB689" s="65"/>
      <c r="CC689" s="65"/>
      <c r="CD689" s="65"/>
      <c r="CE689" s="65"/>
      <c r="CF689" s="65"/>
      <c r="CG689" s="65"/>
    </row>
    <row r="690" spans="1:85" ht="15.75">
      <c r="A690" s="206"/>
      <c r="B690" s="207"/>
      <c r="C690" s="208"/>
      <c r="D690" s="209" t="s">
        <v>128</v>
      </c>
      <c r="E690" s="202">
        <f t="shared" ref="E690:H690" si="3228">SUM(E691:E701)</f>
        <v>0</v>
      </c>
      <c r="F690" s="202">
        <f t="shared" si="3228"/>
        <v>0</v>
      </c>
      <c r="G690" s="202">
        <f t="shared" si="3228"/>
        <v>0</v>
      </c>
      <c r="H690" s="202">
        <f t="shared" si="3228"/>
        <v>0</v>
      </c>
      <c r="I690" s="204">
        <f t="shared" si="2631"/>
        <v>0</v>
      </c>
      <c r="J690" s="204">
        <f t="shared" si="2632"/>
        <v>0</v>
      </c>
      <c r="K690" s="202">
        <f t="shared" ref="K690:W690" si="3229">SUM(K691:K701)</f>
        <v>0</v>
      </c>
      <c r="L690" s="202">
        <f t="shared" si="3229"/>
        <v>0</v>
      </c>
      <c r="M690" s="202">
        <f t="shared" si="3229"/>
        <v>0</v>
      </c>
      <c r="N690" s="202">
        <f t="shared" si="3229"/>
        <v>343455.1</v>
      </c>
      <c r="O690" s="202">
        <f t="shared" si="3229"/>
        <v>0</v>
      </c>
      <c r="P690" s="202">
        <f t="shared" si="3229"/>
        <v>0</v>
      </c>
      <c r="Q690" s="202">
        <f t="shared" si="3229"/>
        <v>274476.40000000002</v>
      </c>
      <c r="R690" s="202">
        <f t="shared" si="3229"/>
        <v>0</v>
      </c>
      <c r="S690" s="202">
        <f t="shared" si="3229"/>
        <v>0</v>
      </c>
      <c r="T690" s="202">
        <f t="shared" si="3229"/>
        <v>274476.40000000002</v>
      </c>
      <c r="U690" s="202">
        <f t="shared" si="3229"/>
        <v>0</v>
      </c>
      <c r="V690" s="202">
        <f t="shared" si="3229"/>
        <v>0</v>
      </c>
      <c r="W690" s="202">
        <f t="shared" si="3229"/>
        <v>68978.7</v>
      </c>
      <c r="X690" s="205">
        <f t="shared" ref="X690:Y690" si="3230">IF(O690&gt;0,O690/K690,0)</f>
        <v>0</v>
      </c>
      <c r="Y690" s="205">
        <f t="shared" si="3230"/>
        <v>0</v>
      </c>
      <c r="Z690" s="205">
        <f t="shared" si="2391"/>
        <v>0.79916239415283119</v>
      </c>
      <c r="AA690" s="202">
        <f t="shared" ref="AA690:BW690" si="3231">SUM(AA691:AA701)</f>
        <v>0</v>
      </c>
      <c r="AB690" s="202">
        <f t="shared" si="3231"/>
        <v>0</v>
      </c>
      <c r="AC690" s="202">
        <f t="shared" si="3231"/>
        <v>0</v>
      </c>
      <c r="AD690" s="202">
        <f t="shared" si="3231"/>
        <v>0</v>
      </c>
      <c r="AE690" s="202">
        <f t="shared" si="3231"/>
        <v>0</v>
      </c>
      <c r="AF690" s="202">
        <f t="shared" si="3231"/>
        <v>0</v>
      </c>
      <c r="AG690" s="202">
        <f t="shared" si="3231"/>
        <v>0</v>
      </c>
      <c r="AH690" s="202">
        <f t="shared" si="3231"/>
        <v>0</v>
      </c>
      <c r="AI690" s="202">
        <f t="shared" si="3231"/>
        <v>0</v>
      </c>
      <c r="AJ690" s="202">
        <f t="shared" si="3231"/>
        <v>0</v>
      </c>
      <c r="AK690" s="202">
        <f t="shared" si="3231"/>
        <v>0</v>
      </c>
      <c r="AL690" s="202">
        <f t="shared" si="3231"/>
        <v>0</v>
      </c>
      <c r="AM690" s="202">
        <f t="shared" si="3231"/>
        <v>0</v>
      </c>
      <c r="AN690" s="202">
        <f t="shared" si="3231"/>
        <v>0</v>
      </c>
      <c r="AO690" s="202">
        <f t="shared" si="3231"/>
        <v>0</v>
      </c>
      <c r="AP690" s="202">
        <f t="shared" si="3231"/>
        <v>0</v>
      </c>
      <c r="AQ690" s="202">
        <f t="shared" si="3231"/>
        <v>0</v>
      </c>
      <c r="AR690" s="202">
        <f t="shared" si="3231"/>
        <v>0</v>
      </c>
      <c r="AS690" s="202">
        <f t="shared" si="3231"/>
        <v>0</v>
      </c>
      <c r="AT690" s="202">
        <f t="shared" si="3231"/>
        <v>0</v>
      </c>
      <c r="AU690" s="202">
        <f t="shared" si="3231"/>
        <v>0</v>
      </c>
      <c r="AV690" s="202">
        <f t="shared" si="3231"/>
        <v>0</v>
      </c>
      <c r="AW690" s="202">
        <f t="shared" si="3231"/>
        <v>0</v>
      </c>
      <c r="AX690" s="202">
        <f t="shared" si="3231"/>
        <v>0</v>
      </c>
      <c r="AY690" s="202">
        <f t="shared" si="3231"/>
        <v>0</v>
      </c>
      <c r="AZ690" s="202">
        <f t="shared" si="3231"/>
        <v>0</v>
      </c>
      <c r="BA690" s="202">
        <f t="shared" si="3231"/>
        <v>0</v>
      </c>
      <c r="BB690" s="202">
        <f t="shared" si="3231"/>
        <v>0</v>
      </c>
      <c r="BC690" s="202">
        <f t="shared" si="3231"/>
        <v>0</v>
      </c>
      <c r="BD690" s="202">
        <f t="shared" si="3231"/>
        <v>0</v>
      </c>
      <c r="BE690" s="202">
        <f t="shared" si="3231"/>
        <v>0</v>
      </c>
      <c r="BF690" s="202">
        <f t="shared" si="3231"/>
        <v>0</v>
      </c>
      <c r="BG690" s="202">
        <f t="shared" si="3231"/>
        <v>264976.40000000002</v>
      </c>
      <c r="BH690" s="202">
        <f t="shared" si="3231"/>
        <v>0</v>
      </c>
      <c r="BI690" s="202">
        <f t="shared" si="3231"/>
        <v>0</v>
      </c>
      <c r="BJ690" s="202">
        <f t="shared" si="3231"/>
        <v>9500</v>
      </c>
      <c r="BK690" s="202">
        <f t="shared" si="3231"/>
        <v>0</v>
      </c>
      <c r="BL690" s="202">
        <f t="shared" si="3231"/>
        <v>0</v>
      </c>
      <c r="BM690" s="202">
        <f t="shared" si="3231"/>
        <v>274476.40000000002</v>
      </c>
      <c r="BN690" s="202">
        <f t="shared" si="3231"/>
        <v>0</v>
      </c>
      <c r="BO690" s="202">
        <f t="shared" si="3231"/>
        <v>0</v>
      </c>
      <c r="BP690" s="202">
        <f t="shared" si="3231"/>
        <v>0</v>
      </c>
      <c r="BQ690" s="202">
        <f t="shared" si="3231"/>
        <v>0</v>
      </c>
      <c r="BR690" s="202">
        <f t="shared" si="3231"/>
        <v>68978.7</v>
      </c>
      <c r="BS690" s="202">
        <f t="shared" si="3231"/>
        <v>68978.7</v>
      </c>
      <c r="BT690" s="202">
        <f t="shared" si="3231"/>
        <v>0</v>
      </c>
      <c r="BU690" s="202">
        <f t="shared" si="3231"/>
        <v>0</v>
      </c>
      <c r="BV690" s="202">
        <f t="shared" si="3231"/>
        <v>68978.7</v>
      </c>
      <c r="BW690" s="202">
        <f t="shared" si="3231"/>
        <v>68978.7</v>
      </c>
      <c r="BX690" s="65"/>
      <c r="BY690" s="65"/>
      <c r="BZ690" s="65"/>
      <c r="CA690" s="65"/>
      <c r="CB690" s="65"/>
      <c r="CC690" s="65"/>
      <c r="CD690" s="65"/>
      <c r="CE690" s="65"/>
      <c r="CF690" s="65"/>
      <c r="CG690" s="65"/>
    </row>
    <row r="691" spans="1:85" ht="15.75" customHeight="1">
      <c r="A691" s="66" t="s">
        <v>1058</v>
      </c>
      <c r="B691" s="283"/>
      <c r="C691" s="86" t="s">
        <v>887</v>
      </c>
      <c r="D691" s="135" t="s">
        <v>1059</v>
      </c>
      <c r="E691" s="163"/>
      <c r="F691" s="164"/>
      <c r="G691" s="71">
        <f t="shared" ref="G691:G701" si="3232">E691-F691</f>
        <v>0</v>
      </c>
      <c r="H691" s="70"/>
      <c r="I691" s="72">
        <f t="shared" si="2631"/>
        <v>0</v>
      </c>
      <c r="J691" s="72">
        <f t="shared" si="2632"/>
        <v>0</v>
      </c>
      <c r="K691" s="94"/>
      <c r="L691" s="75"/>
      <c r="M691" s="81"/>
      <c r="N691" s="73">
        <v>1232</v>
      </c>
      <c r="O691" s="77">
        <f t="shared" ref="O691:Q691" si="3233">AA691+AD691+AG691+AJ691+AM691+AP691+AS691+AV691+AY691+BB691+BE691+BH691</f>
        <v>0</v>
      </c>
      <c r="P691" s="77">
        <f t="shared" si="3233"/>
        <v>0</v>
      </c>
      <c r="Q691" s="77">
        <f t="shared" si="3233"/>
        <v>0</v>
      </c>
      <c r="R691" s="77">
        <f t="shared" ref="R691:T691" si="3234">IF(BK691=0,SUM(AA691+AD691+AG691+AJ691+AM691+AP691+AS691+AV691+AY691+BB691+BE691+BH691),BK691)</f>
        <v>0</v>
      </c>
      <c r="S691" s="77">
        <f t="shared" si="3234"/>
        <v>0</v>
      </c>
      <c r="T691" s="77">
        <f t="shared" si="3234"/>
        <v>0</v>
      </c>
      <c r="U691" s="78">
        <f t="shared" ref="U691:U701" si="3235">K691-O691</f>
        <v>0</v>
      </c>
      <c r="V691" s="79">
        <f t="shared" ref="V691:V701" si="3236">L691-M691-S691</f>
        <v>0</v>
      </c>
      <c r="W691" s="78">
        <f t="shared" ref="W691:W701" si="3237">N691-Q691</f>
        <v>1232</v>
      </c>
      <c r="X691" s="80">
        <f t="shared" ref="X691:Y691" si="3238">IF(O691&gt;0,O691/K691,0)</f>
        <v>0</v>
      </c>
      <c r="Y691" s="80">
        <f t="shared" si="3238"/>
        <v>0</v>
      </c>
      <c r="Z691" s="80">
        <f t="shared" si="2391"/>
        <v>0</v>
      </c>
      <c r="AA691" s="81"/>
      <c r="AB691" s="81"/>
      <c r="AC691" s="81"/>
      <c r="AD691" s="81"/>
      <c r="AE691" s="83"/>
      <c r="AF691" s="83"/>
      <c r="AG691" s="83"/>
      <c r="AH691" s="83"/>
      <c r="AI691" s="81"/>
      <c r="AJ691" s="81"/>
      <c r="AK691" s="81"/>
      <c r="AL691" s="81"/>
      <c r="AM691" s="81"/>
      <c r="AN691" s="81"/>
      <c r="AO691" s="81"/>
      <c r="AP691" s="82"/>
      <c r="AQ691" s="81"/>
      <c r="AR691" s="81"/>
      <c r="AS691" s="81"/>
      <c r="AT691" s="81"/>
      <c r="AU691" s="81"/>
      <c r="AV691" s="81"/>
      <c r="AW691" s="81"/>
      <c r="AX691" s="81"/>
      <c r="AY691" s="81"/>
      <c r="AZ691" s="81"/>
      <c r="BA691" s="81"/>
      <c r="BB691" s="81"/>
      <c r="BC691" s="81"/>
      <c r="BD691" s="81"/>
      <c r="BE691" s="81"/>
      <c r="BF691" s="81"/>
      <c r="BG691" s="81"/>
      <c r="BH691" s="81"/>
      <c r="BI691" s="81"/>
      <c r="BJ691" s="81"/>
      <c r="BK691" s="82">
        <v>0</v>
      </c>
      <c r="BL691" s="82">
        <v>0</v>
      </c>
      <c r="BM691" s="82">
        <v>0</v>
      </c>
      <c r="BN691" s="81">
        <f t="shared" ref="BN691:BN701" si="3239">IF(O691-BK691&gt;0,O691-BK691,0)</f>
        <v>0</v>
      </c>
      <c r="BO691" s="75">
        <f t="shared" ref="BO691:BO701" si="3240">IF(Q691-BM691&gt;0,Q691-BM691,0)</f>
        <v>0</v>
      </c>
      <c r="BP691" s="81">
        <f t="shared" ref="BP691:BP701" si="3241">IF(BN691+BO691&gt;0,BN691+BO691,0)</f>
        <v>0</v>
      </c>
      <c r="BQ691" s="81">
        <f t="shared" ref="BQ691:BQ701" si="3242">IF(U691=0,0,U691)</f>
        <v>0</v>
      </c>
      <c r="BR691" s="81">
        <f t="shared" ref="BR691:BR701" si="3243">IF(W691=0,0,W691)</f>
        <v>1232</v>
      </c>
      <c r="BS691" s="81">
        <f t="shared" ref="BS691:BS701" si="3244">IF(BQ691+BR691&gt;0,BQ691+BR691,0)</f>
        <v>1232</v>
      </c>
      <c r="BT691" s="81">
        <f t="shared" ref="BT691:BT701" si="3245">IF(V691&gt;0,V691,0)</f>
        <v>0</v>
      </c>
      <c r="BU691" s="81">
        <f t="shared" ref="BU691:BU701" si="3246">IF(BP691=0,0,BP691)</f>
        <v>0</v>
      </c>
      <c r="BV691" s="81">
        <f t="shared" ref="BV691:BV701" si="3247">IF(BS691=0,0,BS691)</f>
        <v>1232</v>
      </c>
      <c r="BW691" s="81">
        <f t="shared" ref="BW691:BW701" si="3248">IF(BP691+BT691+BV691&gt;0,BP691+BT691+BV691,0)</f>
        <v>1232</v>
      </c>
      <c r="BX691" s="1"/>
      <c r="BY691" s="1"/>
      <c r="BZ691" s="1"/>
      <c r="CA691" s="1"/>
      <c r="CB691" s="1"/>
      <c r="CC691" s="1"/>
      <c r="CD691" s="1"/>
      <c r="CE691" s="1"/>
      <c r="CF691" s="1"/>
      <c r="CG691" s="1"/>
    </row>
    <row r="692" spans="1:85" ht="15.75" customHeight="1">
      <c r="A692" s="134" t="s">
        <v>1060</v>
      </c>
      <c r="B692" s="283"/>
      <c r="C692" s="129" t="s">
        <v>887</v>
      </c>
      <c r="D692" s="135" t="s">
        <v>1061</v>
      </c>
      <c r="E692" s="163"/>
      <c r="F692" s="164"/>
      <c r="G692" s="71">
        <f t="shared" si="3232"/>
        <v>0</v>
      </c>
      <c r="H692" s="70"/>
      <c r="I692" s="72">
        <f t="shared" si="2631"/>
        <v>0</v>
      </c>
      <c r="J692" s="72">
        <f t="shared" si="2632"/>
        <v>0</v>
      </c>
      <c r="K692" s="94"/>
      <c r="L692" s="75"/>
      <c r="M692" s="81"/>
      <c r="N692" s="73">
        <v>104320</v>
      </c>
      <c r="O692" s="77">
        <f t="shared" ref="O692:Q692" si="3249">AA692+AD692+AG692+AJ692+AM692+AP692+AS692+AV692+AY692+BB692+BE692+BH692</f>
        <v>0</v>
      </c>
      <c r="P692" s="77">
        <f t="shared" si="3249"/>
        <v>0</v>
      </c>
      <c r="Q692" s="77">
        <f t="shared" si="3249"/>
        <v>103520</v>
      </c>
      <c r="R692" s="77">
        <f t="shared" ref="R692:T692" si="3250">IF(BK692=0,SUM(AA692+AD692+AG692+AJ692+AM692+AP692+AS692+AV692+AY692+BB692+BE692+BH692),BK692)</f>
        <v>0</v>
      </c>
      <c r="S692" s="77">
        <f t="shared" si="3250"/>
        <v>0</v>
      </c>
      <c r="T692" s="77">
        <f t="shared" si="3250"/>
        <v>103520</v>
      </c>
      <c r="U692" s="78">
        <f t="shared" si="3235"/>
        <v>0</v>
      </c>
      <c r="V692" s="79">
        <f t="shared" si="3236"/>
        <v>0</v>
      </c>
      <c r="W692" s="79">
        <f t="shared" si="3237"/>
        <v>800</v>
      </c>
      <c r="X692" s="80">
        <f t="shared" ref="X692:Y692" si="3251">IF(O692&gt;0,O692/K692,0)</f>
        <v>0</v>
      </c>
      <c r="Y692" s="80">
        <f t="shared" si="3251"/>
        <v>0</v>
      </c>
      <c r="Z692" s="80">
        <f t="shared" si="2391"/>
        <v>0.99233128834355833</v>
      </c>
      <c r="AA692" s="81"/>
      <c r="AB692" s="81"/>
      <c r="AC692" s="81"/>
      <c r="AD692" s="81"/>
      <c r="AE692" s="83"/>
      <c r="AF692" s="83"/>
      <c r="AG692" s="128"/>
      <c r="AH692" s="83"/>
      <c r="AI692" s="81"/>
      <c r="AJ692" s="81"/>
      <c r="AK692" s="81"/>
      <c r="AL692" s="81"/>
      <c r="AM692" s="81"/>
      <c r="AN692" s="81"/>
      <c r="AO692" s="81"/>
      <c r="AP692" s="81"/>
      <c r="AQ692" s="81"/>
      <c r="AR692" s="81"/>
      <c r="AS692" s="81"/>
      <c r="AT692" s="81"/>
      <c r="AU692" s="81"/>
      <c r="AV692" s="81"/>
      <c r="AW692" s="81"/>
      <c r="AX692" s="81"/>
      <c r="AY692" s="81"/>
      <c r="AZ692" s="81"/>
      <c r="BA692" s="81"/>
      <c r="BB692" s="81"/>
      <c r="BC692" s="81"/>
      <c r="BD692" s="81"/>
      <c r="BE692" s="81"/>
      <c r="BF692" s="81"/>
      <c r="BG692" s="82">
        <v>103520</v>
      </c>
      <c r="BH692" s="81"/>
      <c r="BI692" s="81"/>
      <c r="BJ692" s="81"/>
      <c r="BK692" s="82">
        <v>0</v>
      </c>
      <c r="BL692" s="82">
        <v>0</v>
      </c>
      <c r="BM692" s="82">
        <v>103520</v>
      </c>
      <c r="BN692" s="81">
        <f t="shared" si="3239"/>
        <v>0</v>
      </c>
      <c r="BO692" s="75">
        <f t="shared" si="3240"/>
        <v>0</v>
      </c>
      <c r="BP692" s="81">
        <f t="shared" si="3241"/>
        <v>0</v>
      </c>
      <c r="BQ692" s="81">
        <f t="shared" si="3242"/>
        <v>0</v>
      </c>
      <c r="BR692" s="81">
        <f t="shared" si="3243"/>
        <v>800</v>
      </c>
      <c r="BS692" s="81">
        <f t="shared" si="3244"/>
        <v>800</v>
      </c>
      <c r="BT692" s="81">
        <f t="shared" si="3245"/>
        <v>0</v>
      </c>
      <c r="BU692" s="81">
        <f t="shared" si="3246"/>
        <v>0</v>
      </c>
      <c r="BV692" s="81">
        <f t="shared" si="3247"/>
        <v>800</v>
      </c>
      <c r="BW692" s="81">
        <f t="shared" si="3248"/>
        <v>800</v>
      </c>
      <c r="BX692" s="1"/>
      <c r="BY692" s="1"/>
      <c r="BZ692" s="1"/>
      <c r="CA692" s="1"/>
      <c r="CB692" s="1"/>
      <c r="CC692" s="1"/>
      <c r="CD692" s="1"/>
      <c r="CE692" s="1"/>
      <c r="CF692" s="1"/>
      <c r="CG692" s="1"/>
    </row>
    <row r="693" spans="1:85" ht="15.75" customHeight="1">
      <c r="A693" s="125" t="s">
        <v>1062</v>
      </c>
      <c r="B693" s="283"/>
      <c r="C693" s="86" t="s">
        <v>578</v>
      </c>
      <c r="D693" s="135" t="s">
        <v>1063</v>
      </c>
      <c r="E693" s="163"/>
      <c r="F693" s="164"/>
      <c r="G693" s="71">
        <f t="shared" si="3232"/>
        <v>0</v>
      </c>
      <c r="H693" s="70"/>
      <c r="I693" s="72">
        <f t="shared" si="2631"/>
        <v>0</v>
      </c>
      <c r="J693" s="72">
        <f t="shared" si="2632"/>
        <v>0</v>
      </c>
      <c r="K693" s="94"/>
      <c r="L693" s="75"/>
      <c r="M693" s="81"/>
      <c r="N693" s="73">
        <v>38050.400000000001</v>
      </c>
      <c r="O693" s="77">
        <f t="shared" ref="O693:Q693" si="3252">AA693+AD693+AG693+AJ693+AM693+AP693+AS693+AV693+AY693+BB693+BE693+BH693</f>
        <v>0</v>
      </c>
      <c r="P693" s="77">
        <f t="shared" si="3252"/>
        <v>0</v>
      </c>
      <c r="Q693" s="77">
        <f t="shared" si="3252"/>
        <v>38050.400000000001</v>
      </c>
      <c r="R693" s="77">
        <f t="shared" ref="R693:T693" si="3253">IF(BK693=0,SUM(AA693+AD693+AG693+AJ693+AM693+AP693+AS693+AV693+AY693+BB693+BE693+BH693),BK693)</f>
        <v>0</v>
      </c>
      <c r="S693" s="77">
        <f t="shared" si="3253"/>
        <v>0</v>
      </c>
      <c r="T693" s="77">
        <f t="shared" si="3253"/>
        <v>38050.400000000001</v>
      </c>
      <c r="U693" s="78">
        <f t="shared" si="3235"/>
        <v>0</v>
      </c>
      <c r="V693" s="79">
        <f t="shared" si="3236"/>
        <v>0</v>
      </c>
      <c r="W693" s="79">
        <f t="shared" si="3237"/>
        <v>0</v>
      </c>
      <c r="X693" s="80">
        <f t="shared" ref="X693:Y693" si="3254">IF(O693&gt;0,O693/K693,0)</f>
        <v>0</v>
      </c>
      <c r="Y693" s="80">
        <f t="shared" si="3254"/>
        <v>0</v>
      </c>
      <c r="Z693" s="80">
        <f t="shared" si="2391"/>
        <v>1</v>
      </c>
      <c r="AA693" s="81"/>
      <c r="AB693" s="81"/>
      <c r="AC693" s="81"/>
      <c r="AD693" s="81"/>
      <c r="AE693" s="83"/>
      <c r="AF693" s="83"/>
      <c r="AG693" s="83"/>
      <c r="AH693" s="83"/>
      <c r="AI693" s="81"/>
      <c r="AJ693" s="82"/>
      <c r="AK693" s="81"/>
      <c r="AL693" s="81"/>
      <c r="AM693" s="81"/>
      <c r="AN693" s="81"/>
      <c r="AO693" s="81"/>
      <c r="AP693" s="81"/>
      <c r="AQ693" s="81"/>
      <c r="AR693" s="81"/>
      <c r="AS693" s="81"/>
      <c r="AT693" s="81"/>
      <c r="AU693" s="81"/>
      <c r="AV693" s="81"/>
      <c r="AW693" s="81"/>
      <c r="AX693" s="81"/>
      <c r="AY693" s="81"/>
      <c r="AZ693" s="81"/>
      <c r="BA693" s="81"/>
      <c r="BB693" s="81"/>
      <c r="BC693" s="81"/>
      <c r="BD693" s="81"/>
      <c r="BE693" s="81"/>
      <c r="BF693" s="81"/>
      <c r="BG693" s="82">
        <v>38050.400000000001</v>
      </c>
      <c r="BH693" s="81"/>
      <c r="BI693" s="81"/>
      <c r="BJ693" s="81"/>
      <c r="BK693" s="82">
        <v>0</v>
      </c>
      <c r="BL693" s="82">
        <v>0</v>
      </c>
      <c r="BM693" s="82">
        <v>38050.400000000001</v>
      </c>
      <c r="BN693" s="81">
        <f t="shared" si="3239"/>
        <v>0</v>
      </c>
      <c r="BO693" s="75">
        <f t="shared" si="3240"/>
        <v>0</v>
      </c>
      <c r="BP693" s="81">
        <f t="shared" si="3241"/>
        <v>0</v>
      </c>
      <c r="BQ693" s="81">
        <f t="shared" si="3242"/>
        <v>0</v>
      </c>
      <c r="BR693" s="81">
        <f t="shared" si="3243"/>
        <v>0</v>
      </c>
      <c r="BS693" s="81">
        <f t="shared" si="3244"/>
        <v>0</v>
      </c>
      <c r="BT693" s="81">
        <f t="shared" si="3245"/>
        <v>0</v>
      </c>
      <c r="BU693" s="81">
        <f t="shared" si="3246"/>
        <v>0</v>
      </c>
      <c r="BV693" s="81">
        <f t="shared" si="3247"/>
        <v>0</v>
      </c>
      <c r="BW693" s="81">
        <f t="shared" si="3248"/>
        <v>0</v>
      </c>
      <c r="BX693" s="1"/>
      <c r="BY693" s="1"/>
      <c r="BZ693" s="1"/>
      <c r="CA693" s="1"/>
      <c r="CB693" s="1"/>
      <c r="CC693" s="1"/>
      <c r="CD693" s="1"/>
      <c r="CE693" s="1"/>
      <c r="CF693" s="1"/>
      <c r="CG693" s="1"/>
    </row>
    <row r="694" spans="1:85" ht="15.75" customHeight="1">
      <c r="A694" s="125" t="s">
        <v>1064</v>
      </c>
      <c r="B694" s="283"/>
      <c r="C694" s="86" t="s">
        <v>578</v>
      </c>
      <c r="D694" s="135" t="s">
        <v>1065</v>
      </c>
      <c r="E694" s="163"/>
      <c r="F694" s="164"/>
      <c r="G694" s="71">
        <f t="shared" si="3232"/>
        <v>0</v>
      </c>
      <c r="H694" s="70"/>
      <c r="I694" s="72">
        <f t="shared" si="2631"/>
        <v>0</v>
      </c>
      <c r="J694" s="72">
        <f t="shared" si="2632"/>
        <v>0</v>
      </c>
      <c r="K694" s="94"/>
      <c r="L694" s="75"/>
      <c r="M694" s="81"/>
      <c r="N694" s="73">
        <v>3786.7</v>
      </c>
      <c r="O694" s="77">
        <f t="shared" ref="O694:Q694" si="3255">AA694+AD694+AG694+AJ694+AM694+AP694+AS694+AV694+AY694+BB694+BE694+BH694</f>
        <v>0</v>
      </c>
      <c r="P694" s="77">
        <f t="shared" si="3255"/>
        <v>0</v>
      </c>
      <c r="Q694" s="77">
        <f t="shared" si="3255"/>
        <v>0</v>
      </c>
      <c r="R694" s="77">
        <f t="shared" ref="R694:T694" si="3256">IF(BK694=0,SUM(AA694+AD694+AG694+AJ694+AM694+AP694+AS694+AV694+AY694+BB694+BE694+BH694),BK694)</f>
        <v>0</v>
      </c>
      <c r="S694" s="77">
        <f t="shared" si="3256"/>
        <v>0</v>
      </c>
      <c r="T694" s="77">
        <f t="shared" si="3256"/>
        <v>0</v>
      </c>
      <c r="U694" s="78">
        <f t="shared" si="3235"/>
        <v>0</v>
      </c>
      <c r="V694" s="79">
        <f t="shared" si="3236"/>
        <v>0</v>
      </c>
      <c r="W694" s="79">
        <f t="shared" si="3237"/>
        <v>3786.7</v>
      </c>
      <c r="X694" s="80">
        <f t="shared" ref="X694:Y694" si="3257">IF(O694&gt;0,O694/K694,0)</f>
        <v>0</v>
      </c>
      <c r="Y694" s="80">
        <f t="shared" si="3257"/>
        <v>0</v>
      </c>
      <c r="Z694" s="80">
        <f t="shared" si="2391"/>
        <v>0</v>
      </c>
      <c r="AA694" s="81"/>
      <c r="AB694" s="81"/>
      <c r="AC694" s="81"/>
      <c r="AD694" s="81"/>
      <c r="AE694" s="83"/>
      <c r="AF694" s="83"/>
      <c r="AG694" s="83"/>
      <c r="AH694" s="83"/>
      <c r="AI694" s="81"/>
      <c r="AJ694" s="82"/>
      <c r="AK694" s="81"/>
      <c r="AL694" s="81"/>
      <c r="AM694" s="81"/>
      <c r="AN694" s="81"/>
      <c r="AO694" s="81"/>
      <c r="AP694" s="81"/>
      <c r="AQ694" s="81"/>
      <c r="AR694" s="81"/>
      <c r="AS694" s="81"/>
      <c r="AT694" s="81"/>
      <c r="AU694" s="81"/>
      <c r="AV694" s="81"/>
      <c r="AW694" s="81"/>
      <c r="AX694" s="81"/>
      <c r="AY694" s="81"/>
      <c r="AZ694" s="81"/>
      <c r="BA694" s="81"/>
      <c r="BB694" s="81"/>
      <c r="BC694" s="81"/>
      <c r="BD694" s="81"/>
      <c r="BE694" s="81"/>
      <c r="BF694" s="81"/>
      <c r="BG694" s="81"/>
      <c r="BH694" s="81"/>
      <c r="BI694" s="81"/>
      <c r="BJ694" s="81"/>
      <c r="BK694" s="82">
        <v>0</v>
      </c>
      <c r="BL694" s="82">
        <v>0</v>
      </c>
      <c r="BM694" s="82">
        <v>0</v>
      </c>
      <c r="BN694" s="81">
        <f t="shared" si="3239"/>
        <v>0</v>
      </c>
      <c r="BO694" s="75">
        <f t="shared" si="3240"/>
        <v>0</v>
      </c>
      <c r="BP694" s="81">
        <f t="shared" si="3241"/>
        <v>0</v>
      </c>
      <c r="BQ694" s="81">
        <f t="shared" si="3242"/>
        <v>0</v>
      </c>
      <c r="BR694" s="81">
        <f t="shared" si="3243"/>
        <v>3786.7</v>
      </c>
      <c r="BS694" s="81">
        <f t="shared" si="3244"/>
        <v>3786.7</v>
      </c>
      <c r="BT694" s="81">
        <f t="shared" si="3245"/>
        <v>0</v>
      </c>
      <c r="BU694" s="81">
        <f t="shared" si="3246"/>
        <v>0</v>
      </c>
      <c r="BV694" s="81">
        <f t="shared" si="3247"/>
        <v>3786.7</v>
      </c>
      <c r="BW694" s="81">
        <f t="shared" si="3248"/>
        <v>3786.7</v>
      </c>
      <c r="BX694" s="1"/>
      <c r="BY694" s="1"/>
      <c r="BZ694" s="1"/>
      <c r="CA694" s="1"/>
      <c r="CB694" s="1"/>
      <c r="CC694" s="1"/>
      <c r="CD694" s="1"/>
      <c r="CE694" s="1"/>
      <c r="CF694" s="1"/>
      <c r="CG694" s="1"/>
    </row>
    <row r="695" spans="1:85" ht="15.75" customHeight="1" outlineLevel="1">
      <c r="A695" s="134" t="s">
        <v>1066</v>
      </c>
      <c r="B695" s="132"/>
      <c r="C695" s="129" t="s">
        <v>956</v>
      </c>
      <c r="D695" s="135" t="s">
        <v>965</v>
      </c>
      <c r="E695" s="163"/>
      <c r="F695" s="164"/>
      <c r="G695" s="71">
        <f t="shared" si="3232"/>
        <v>0</v>
      </c>
      <c r="H695" s="70"/>
      <c r="I695" s="72">
        <f t="shared" si="2631"/>
        <v>0</v>
      </c>
      <c r="J695" s="72">
        <f t="shared" si="2632"/>
        <v>0</v>
      </c>
      <c r="K695" s="94"/>
      <c r="L695" s="75"/>
      <c r="M695" s="81"/>
      <c r="N695" s="73">
        <v>10960</v>
      </c>
      <c r="O695" s="77">
        <f t="shared" ref="O695:Q695" si="3258">AA695+AD695+AG695+AJ695+AM695+AP695+AS695+AV695+AY695+BB695+BE695+BH695</f>
        <v>0</v>
      </c>
      <c r="P695" s="77">
        <f t="shared" si="3258"/>
        <v>0</v>
      </c>
      <c r="Q695" s="77">
        <f t="shared" si="3258"/>
        <v>10960</v>
      </c>
      <c r="R695" s="77">
        <f t="shared" ref="R695:T695" si="3259">IF(BK695=0,SUM(AA695+AD695+AG695+AJ695+AM695+AP695+AS695+AV695+AY695+BB695+BE695+BH695),BK695)</f>
        <v>0</v>
      </c>
      <c r="S695" s="77">
        <f t="shared" si="3259"/>
        <v>0</v>
      </c>
      <c r="T695" s="77">
        <f t="shared" si="3259"/>
        <v>10960</v>
      </c>
      <c r="U695" s="78">
        <f t="shared" si="3235"/>
        <v>0</v>
      </c>
      <c r="V695" s="79">
        <f t="shared" si="3236"/>
        <v>0</v>
      </c>
      <c r="W695" s="79">
        <f t="shared" si="3237"/>
        <v>0</v>
      </c>
      <c r="X695" s="80">
        <f t="shared" ref="X695:Y695" si="3260">IF(O695&gt;0,O695/K695,0)</f>
        <v>0</v>
      </c>
      <c r="Y695" s="80">
        <f t="shared" si="3260"/>
        <v>0</v>
      </c>
      <c r="Z695" s="80">
        <f t="shared" si="2391"/>
        <v>1</v>
      </c>
      <c r="AA695" s="81"/>
      <c r="AB695" s="81"/>
      <c r="AC695" s="81"/>
      <c r="AD695" s="81"/>
      <c r="AE695" s="128"/>
      <c r="AF695" s="83"/>
      <c r="AG695" s="83"/>
      <c r="AH695" s="83"/>
      <c r="AI695" s="81"/>
      <c r="AJ695" s="81"/>
      <c r="AK695" s="81"/>
      <c r="AL695" s="81"/>
      <c r="AM695" s="81"/>
      <c r="AN695" s="81"/>
      <c r="AO695" s="81"/>
      <c r="AP695" s="81"/>
      <c r="AQ695" s="81"/>
      <c r="AR695" s="81"/>
      <c r="AS695" s="81"/>
      <c r="AT695" s="81"/>
      <c r="AU695" s="81"/>
      <c r="AV695" s="81"/>
      <c r="AW695" s="81"/>
      <c r="AX695" s="81"/>
      <c r="AY695" s="81"/>
      <c r="AZ695" s="81"/>
      <c r="BA695" s="81"/>
      <c r="BB695" s="81"/>
      <c r="BC695" s="81"/>
      <c r="BD695" s="81"/>
      <c r="BE695" s="82"/>
      <c r="BF695" s="81"/>
      <c r="BG695" s="82">
        <v>10960</v>
      </c>
      <c r="BH695" s="81"/>
      <c r="BI695" s="81"/>
      <c r="BJ695" s="81"/>
      <c r="BK695" s="82">
        <v>0</v>
      </c>
      <c r="BL695" s="82">
        <v>0</v>
      </c>
      <c r="BM695" s="82">
        <v>10960</v>
      </c>
      <c r="BN695" s="81">
        <f t="shared" si="3239"/>
        <v>0</v>
      </c>
      <c r="BO695" s="75">
        <f t="shared" si="3240"/>
        <v>0</v>
      </c>
      <c r="BP695" s="81">
        <f t="shared" si="3241"/>
        <v>0</v>
      </c>
      <c r="BQ695" s="81">
        <f t="shared" si="3242"/>
        <v>0</v>
      </c>
      <c r="BR695" s="81">
        <f t="shared" si="3243"/>
        <v>0</v>
      </c>
      <c r="BS695" s="81">
        <f t="shared" si="3244"/>
        <v>0</v>
      </c>
      <c r="BT695" s="81">
        <f t="shared" si="3245"/>
        <v>0</v>
      </c>
      <c r="BU695" s="81">
        <f t="shared" si="3246"/>
        <v>0</v>
      </c>
      <c r="BV695" s="81">
        <f t="shared" si="3247"/>
        <v>0</v>
      </c>
      <c r="BW695" s="81">
        <f t="shared" si="3248"/>
        <v>0</v>
      </c>
      <c r="BX695" s="1"/>
      <c r="BY695" s="1"/>
      <c r="BZ695" s="1"/>
      <c r="CA695" s="1"/>
      <c r="CB695" s="1"/>
      <c r="CC695" s="1"/>
      <c r="CD695" s="1"/>
      <c r="CE695" s="1"/>
      <c r="CF695" s="1"/>
      <c r="CG695" s="1"/>
    </row>
    <row r="696" spans="1:85" ht="15.75" customHeight="1" outlineLevel="1">
      <c r="A696" s="134" t="s">
        <v>1062</v>
      </c>
      <c r="B696" s="132"/>
      <c r="C696" s="129" t="s">
        <v>956</v>
      </c>
      <c r="D696" s="135" t="s">
        <v>961</v>
      </c>
      <c r="E696" s="163"/>
      <c r="F696" s="164"/>
      <c r="G696" s="71">
        <f t="shared" si="3232"/>
        <v>0</v>
      </c>
      <c r="H696" s="70"/>
      <c r="I696" s="72">
        <f t="shared" si="2631"/>
        <v>0</v>
      </c>
      <c r="J696" s="72">
        <f t="shared" si="2632"/>
        <v>0</v>
      </c>
      <c r="K696" s="94"/>
      <c r="L696" s="75"/>
      <c r="M696" s="81"/>
      <c r="N696" s="73">
        <v>40446</v>
      </c>
      <c r="O696" s="77">
        <f t="shared" ref="O696:Q696" si="3261">AA696+AD696+AG696+AJ696+AM696+AP696+AS696+AV696+AY696+BB696+BE696+BH696</f>
        <v>0</v>
      </c>
      <c r="P696" s="77">
        <f t="shared" si="3261"/>
        <v>0</v>
      </c>
      <c r="Q696" s="77">
        <f t="shared" si="3261"/>
        <v>40446</v>
      </c>
      <c r="R696" s="77">
        <f t="shared" ref="R696:T696" si="3262">IF(BK696=0,SUM(AA696+AD696+AG696+AJ696+AM696+AP696+AS696+AV696+AY696+BB696+BE696+BH696),BK696)</f>
        <v>0</v>
      </c>
      <c r="S696" s="77">
        <f t="shared" si="3262"/>
        <v>0</v>
      </c>
      <c r="T696" s="77">
        <f t="shared" si="3262"/>
        <v>40446</v>
      </c>
      <c r="U696" s="78">
        <f t="shared" si="3235"/>
        <v>0</v>
      </c>
      <c r="V696" s="79">
        <f t="shared" si="3236"/>
        <v>0</v>
      </c>
      <c r="W696" s="79">
        <f t="shared" si="3237"/>
        <v>0</v>
      </c>
      <c r="X696" s="80">
        <f t="shared" ref="X696:Y696" si="3263">IF(O696&gt;0,O696/K696,0)</f>
        <v>0</v>
      </c>
      <c r="Y696" s="80">
        <f t="shared" si="3263"/>
        <v>0</v>
      </c>
      <c r="Z696" s="80">
        <f t="shared" si="2391"/>
        <v>1</v>
      </c>
      <c r="AA696" s="81"/>
      <c r="AB696" s="81"/>
      <c r="AC696" s="81"/>
      <c r="AD696" s="81"/>
      <c r="AE696" s="128"/>
      <c r="AF696" s="83"/>
      <c r="AG696" s="83"/>
      <c r="AH696" s="83"/>
      <c r="AI696" s="81"/>
      <c r="AJ696" s="81"/>
      <c r="AK696" s="81"/>
      <c r="AL696" s="81"/>
      <c r="AM696" s="81"/>
      <c r="AN696" s="81"/>
      <c r="AO696" s="81"/>
      <c r="AP696" s="81"/>
      <c r="AQ696" s="81"/>
      <c r="AR696" s="81"/>
      <c r="AS696" s="81"/>
      <c r="AT696" s="81"/>
      <c r="AU696" s="81"/>
      <c r="AV696" s="81"/>
      <c r="AW696" s="81"/>
      <c r="AX696" s="81"/>
      <c r="AY696" s="81"/>
      <c r="AZ696" s="81"/>
      <c r="BA696" s="81"/>
      <c r="BB696" s="81"/>
      <c r="BC696" s="81"/>
      <c r="BD696" s="81"/>
      <c r="BE696" s="81"/>
      <c r="BF696" s="81"/>
      <c r="BG696" s="82">
        <v>40446</v>
      </c>
      <c r="BH696" s="81"/>
      <c r="BI696" s="81"/>
      <c r="BJ696" s="81"/>
      <c r="BK696" s="82">
        <v>0</v>
      </c>
      <c r="BL696" s="82">
        <v>0</v>
      </c>
      <c r="BM696" s="82">
        <v>40446</v>
      </c>
      <c r="BN696" s="81">
        <f t="shared" si="3239"/>
        <v>0</v>
      </c>
      <c r="BO696" s="75">
        <f t="shared" si="3240"/>
        <v>0</v>
      </c>
      <c r="BP696" s="81">
        <f t="shared" si="3241"/>
        <v>0</v>
      </c>
      <c r="BQ696" s="81">
        <f t="shared" si="3242"/>
        <v>0</v>
      </c>
      <c r="BR696" s="81">
        <f t="shared" si="3243"/>
        <v>0</v>
      </c>
      <c r="BS696" s="81">
        <f t="shared" si="3244"/>
        <v>0</v>
      </c>
      <c r="BT696" s="81">
        <f t="shared" si="3245"/>
        <v>0</v>
      </c>
      <c r="BU696" s="81">
        <f t="shared" si="3246"/>
        <v>0</v>
      </c>
      <c r="BV696" s="81">
        <f t="shared" si="3247"/>
        <v>0</v>
      </c>
      <c r="BW696" s="81">
        <f t="shared" si="3248"/>
        <v>0</v>
      </c>
      <c r="BX696" s="1"/>
      <c r="BY696" s="1"/>
      <c r="BZ696" s="1"/>
      <c r="CA696" s="1"/>
      <c r="CB696" s="1"/>
      <c r="CC696" s="1"/>
      <c r="CD696" s="1"/>
      <c r="CE696" s="1"/>
      <c r="CF696" s="1"/>
      <c r="CG696" s="1"/>
    </row>
    <row r="697" spans="1:85" ht="15.75" customHeight="1" outlineLevel="1">
      <c r="A697" s="134" t="s">
        <v>1067</v>
      </c>
      <c r="B697" s="132"/>
      <c r="C697" s="129" t="s">
        <v>956</v>
      </c>
      <c r="D697" s="135" t="s">
        <v>1068</v>
      </c>
      <c r="E697" s="163"/>
      <c r="F697" s="164"/>
      <c r="G697" s="71">
        <f t="shared" si="3232"/>
        <v>0</v>
      </c>
      <c r="H697" s="70"/>
      <c r="I697" s="72">
        <f t="shared" si="2631"/>
        <v>0</v>
      </c>
      <c r="J697" s="72">
        <f t="shared" si="2632"/>
        <v>0</v>
      </c>
      <c r="K697" s="94"/>
      <c r="L697" s="75"/>
      <c r="M697" s="81"/>
      <c r="N697" s="73">
        <v>12450</v>
      </c>
      <c r="O697" s="77">
        <f t="shared" ref="O697:Q697" si="3264">AA697+AD697+AG697+AJ697+AM697+AP697+AS697+AV697+AY697+BB697+BE697+BH697</f>
        <v>0</v>
      </c>
      <c r="P697" s="77">
        <f t="shared" si="3264"/>
        <v>0</v>
      </c>
      <c r="Q697" s="77">
        <f t="shared" si="3264"/>
        <v>12450</v>
      </c>
      <c r="R697" s="77">
        <f t="shared" ref="R697:T697" si="3265">IF(BK697=0,SUM(AA697+AD697+AG697+AJ697+AM697+AP697+AS697+AV697+AY697+BB697+BE697+BH697),BK697)</f>
        <v>0</v>
      </c>
      <c r="S697" s="77">
        <f t="shared" si="3265"/>
        <v>0</v>
      </c>
      <c r="T697" s="77">
        <f t="shared" si="3265"/>
        <v>12450</v>
      </c>
      <c r="U697" s="78">
        <f t="shared" si="3235"/>
        <v>0</v>
      </c>
      <c r="V697" s="79">
        <f t="shared" si="3236"/>
        <v>0</v>
      </c>
      <c r="W697" s="79">
        <f t="shared" si="3237"/>
        <v>0</v>
      </c>
      <c r="X697" s="80">
        <f t="shared" ref="X697:Y697" si="3266">IF(O697&gt;0,O697/K697,0)</f>
        <v>0</v>
      </c>
      <c r="Y697" s="80">
        <f t="shared" si="3266"/>
        <v>0</v>
      </c>
      <c r="Z697" s="80">
        <f t="shared" si="2391"/>
        <v>1</v>
      </c>
      <c r="AA697" s="81"/>
      <c r="AB697" s="81"/>
      <c r="AC697" s="81"/>
      <c r="AD697" s="81"/>
      <c r="AE697" s="128"/>
      <c r="AF697" s="83"/>
      <c r="AG697" s="83"/>
      <c r="AH697" s="83"/>
      <c r="AI697" s="81"/>
      <c r="AJ697" s="81"/>
      <c r="AK697" s="81"/>
      <c r="AL697" s="81"/>
      <c r="AM697" s="81"/>
      <c r="AN697" s="81"/>
      <c r="AO697" s="81"/>
      <c r="AP697" s="81"/>
      <c r="AQ697" s="81"/>
      <c r="AR697" s="81"/>
      <c r="AS697" s="81"/>
      <c r="AT697" s="81"/>
      <c r="AU697" s="81"/>
      <c r="AV697" s="81"/>
      <c r="AW697" s="81"/>
      <c r="AX697" s="81"/>
      <c r="AY697" s="81"/>
      <c r="AZ697" s="81"/>
      <c r="BA697" s="81"/>
      <c r="BB697" s="81"/>
      <c r="BC697" s="81"/>
      <c r="BD697" s="81"/>
      <c r="BE697" s="81"/>
      <c r="BF697" s="81"/>
      <c r="BG697" s="82">
        <v>12450</v>
      </c>
      <c r="BH697" s="81"/>
      <c r="BI697" s="81"/>
      <c r="BJ697" s="81"/>
      <c r="BK697" s="82">
        <v>0</v>
      </c>
      <c r="BL697" s="82">
        <v>0</v>
      </c>
      <c r="BM697" s="82">
        <v>12450</v>
      </c>
      <c r="BN697" s="81">
        <f t="shared" si="3239"/>
        <v>0</v>
      </c>
      <c r="BO697" s="75">
        <f t="shared" si="3240"/>
        <v>0</v>
      </c>
      <c r="BP697" s="81">
        <f t="shared" si="3241"/>
        <v>0</v>
      </c>
      <c r="BQ697" s="81">
        <f t="shared" si="3242"/>
        <v>0</v>
      </c>
      <c r="BR697" s="81">
        <f t="shared" si="3243"/>
        <v>0</v>
      </c>
      <c r="BS697" s="81">
        <f t="shared" si="3244"/>
        <v>0</v>
      </c>
      <c r="BT697" s="81">
        <f t="shared" si="3245"/>
        <v>0</v>
      </c>
      <c r="BU697" s="81">
        <f t="shared" si="3246"/>
        <v>0</v>
      </c>
      <c r="BV697" s="81">
        <f t="shared" si="3247"/>
        <v>0</v>
      </c>
      <c r="BW697" s="81">
        <f t="shared" si="3248"/>
        <v>0</v>
      </c>
      <c r="BX697" s="1"/>
      <c r="BY697" s="1"/>
      <c r="BZ697" s="1"/>
      <c r="CA697" s="1"/>
      <c r="CB697" s="1"/>
      <c r="CC697" s="1"/>
      <c r="CD697" s="1"/>
      <c r="CE697" s="1"/>
      <c r="CF697" s="1"/>
      <c r="CG697" s="1"/>
    </row>
    <row r="698" spans="1:85" ht="15.75" customHeight="1" outlineLevel="1">
      <c r="A698" s="134" t="s">
        <v>1069</v>
      </c>
      <c r="B698" s="132"/>
      <c r="C698" s="129" t="s">
        <v>956</v>
      </c>
      <c r="D698" s="135" t="s">
        <v>961</v>
      </c>
      <c r="E698" s="163"/>
      <c r="F698" s="164"/>
      <c r="G698" s="71">
        <f t="shared" si="3232"/>
        <v>0</v>
      </c>
      <c r="H698" s="70"/>
      <c r="I698" s="72">
        <f t="shared" si="2631"/>
        <v>0</v>
      </c>
      <c r="J698" s="72">
        <f t="shared" si="2632"/>
        <v>0</v>
      </c>
      <c r="K698" s="94"/>
      <c r="L698" s="75"/>
      <c r="M698" s="81"/>
      <c r="N698" s="73">
        <v>63160</v>
      </c>
      <c r="O698" s="77">
        <f t="shared" ref="O698:Q698" si="3267">AA698+AD698+AG698+AJ698+AM698+AP698+AS698+AV698+AY698+BB698+BE698+BH698</f>
        <v>0</v>
      </c>
      <c r="P698" s="77">
        <f t="shared" si="3267"/>
        <v>0</v>
      </c>
      <c r="Q698" s="77">
        <f t="shared" si="3267"/>
        <v>0</v>
      </c>
      <c r="R698" s="77">
        <f t="shared" ref="R698:T698" si="3268">IF(BK698=0,SUM(AA698+AD698+AG698+AJ698+AM698+AP698+AS698+AV698+AY698+BB698+BE698+BH698),BK698)</f>
        <v>0</v>
      </c>
      <c r="S698" s="77">
        <f t="shared" si="3268"/>
        <v>0</v>
      </c>
      <c r="T698" s="77">
        <f t="shared" si="3268"/>
        <v>0</v>
      </c>
      <c r="U698" s="78">
        <f t="shared" si="3235"/>
        <v>0</v>
      </c>
      <c r="V698" s="79">
        <f t="shared" si="3236"/>
        <v>0</v>
      </c>
      <c r="W698" s="79">
        <f t="shared" si="3237"/>
        <v>63160</v>
      </c>
      <c r="X698" s="80">
        <f t="shared" ref="X698:Y698" si="3269">IF(O698&gt;0,O698/K698,0)</f>
        <v>0</v>
      </c>
      <c r="Y698" s="80">
        <f t="shared" si="3269"/>
        <v>0</v>
      </c>
      <c r="Z698" s="80">
        <f t="shared" si="2391"/>
        <v>0</v>
      </c>
      <c r="AA698" s="81"/>
      <c r="AB698" s="81"/>
      <c r="AC698" s="81"/>
      <c r="AD698" s="81"/>
      <c r="AE698" s="128"/>
      <c r="AF698" s="83"/>
      <c r="AG698" s="83"/>
      <c r="AH698" s="83"/>
      <c r="AI698" s="81"/>
      <c r="AJ698" s="81"/>
      <c r="AK698" s="81"/>
      <c r="AL698" s="81"/>
      <c r="AM698" s="81"/>
      <c r="AN698" s="81"/>
      <c r="AO698" s="81"/>
      <c r="AP698" s="81"/>
      <c r="AQ698" s="81"/>
      <c r="AR698" s="81"/>
      <c r="AS698" s="81"/>
      <c r="AT698" s="81"/>
      <c r="AU698" s="81"/>
      <c r="AV698" s="81"/>
      <c r="AW698" s="81"/>
      <c r="AX698" s="81"/>
      <c r="AY698" s="81"/>
      <c r="AZ698" s="81"/>
      <c r="BA698" s="81"/>
      <c r="BB698" s="81"/>
      <c r="BC698" s="81"/>
      <c r="BD698" s="81"/>
      <c r="BE698" s="81"/>
      <c r="BF698" s="81"/>
      <c r="BG698" s="81"/>
      <c r="BH698" s="81"/>
      <c r="BI698" s="81"/>
      <c r="BJ698" s="81"/>
      <c r="BK698" s="82">
        <v>0</v>
      </c>
      <c r="BL698" s="82">
        <v>0</v>
      </c>
      <c r="BM698" s="82">
        <v>0</v>
      </c>
      <c r="BN698" s="81">
        <f t="shared" si="3239"/>
        <v>0</v>
      </c>
      <c r="BO698" s="75">
        <f t="shared" si="3240"/>
        <v>0</v>
      </c>
      <c r="BP698" s="81">
        <f t="shared" si="3241"/>
        <v>0</v>
      </c>
      <c r="BQ698" s="81">
        <f t="shared" si="3242"/>
        <v>0</v>
      </c>
      <c r="BR698" s="81">
        <f t="shared" si="3243"/>
        <v>63160</v>
      </c>
      <c r="BS698" s="81">
        <f t="shared" si="3244"/>
        <v>63160</v>
      </c>
      <c r="BT698" s="81">
        <f t="shared" si="3245"/>
        <v>0</v>
      </c>
      <c r="BU698" s="81">
        <f t="shared" si="3246"/>
        <v>0</v>
      </c>
      <c r="BV698" s="81">
        <f t="shared" si="3247"/>
        <v>63160</v>
      </c>
      <c r="BW698" s="81">
        <f t="shared" si="3248"/>
        <v>63160</v>
      </c>
      <c r="BX698" s="1"/>
      <c r="BY698" s="1"/>
      <c r="BZ698" s="1"/>
      <c r="CA698" s="1"/>
      <c r="CB698" s="1"/>
      <c r="CC698" s="1"/>
      <c r="CD698" s="1"/>
      <c r="CE698" s="1"/>
      <c r="CF698" s="1"/>
      <c r="CG698" s="1"/>
    </row>
    <row r="699" spans="1:85" ht="15.75" customHeight="1" outlineLevel="1">
      <c r="A699" s="134" t="s">
        <v>1070</v>
      </c>
      <c r="B699" s="132"/>
      <c r="C699" s="129" t="s">
        <v>956</v>
      </c>
      <c r="D699" s="135" t="s">
        <v>1071</v>
      </c>
      <c r="E699" s="163"/>
      <c r="F699" s="164"/>
      <c r="G699" s="71">
        <f t="shared" si="3232"/>
        <v>0</v>
      </c>
      <c r="H699" s="70"/>
      <c r="I699" s="72">
        <f t="shared" si="2631"/>
        <v>0</v>
      </c>
      <c r="J699" s="72">
        <f t="shared" si="2632"/>
        <v>0</v>
      </c>
      <c r="K699" s="94"/>
      <c r="L699" s="75"/>
      <c r="M699" s="81"/>
      <c r="N699" s="73">
        <v>56050</v>
      </c>
      <c r="O699" s="77">
        <f t="shared" ref="O699:Q699" si="3270">AA699+AD699+AG699+AJ699+AM699+AP699+AS699+AV699+AY699+BB699+BE699+BH699</f>
        <v>0</v>
      </c>
      <c r="P699" s="77">
        <f t="shared" si="3270"/>
        <v>0</v>
      </c>
      <c r="Q699" s="77">
        <f t="shared" si="3270"/>
        <v>56050</v>
      </c>
      <c r="R699" s="77">
        <f t="shared" ref="R699:T699" si="3271">IF(BK699=0,SUM(AA699+AD699+AG699+AJ699+AM699+AP699+AS699+AV699+AY699+BB699+BE699+BH699),BK699)</f>
        <v>0</v>
      </c>
      <c r="S699" s="77">
        <f t="shared" si="3271"/>
        <v>0</v>
      </c>
      <c r="T699" s="77">
        <f t="shared" si="3271"/>
        <v>56050</v>
      </c>
      <c r="U699" s="78">
        <f t="shared" si="3235"/>
        <v>0</v>
      </c>
      <c r="V699" s="79">
        <f t="shared" si="3236"/>
        <v>0</v>
      </c>
      <c r="W699" s="79">
        <f t="shared" si="3237"/>
        <v>0</v>
      </c>
      <c r="X699" s="80">
        <f t="shared" ref="X699:Y699" si="3272">IF(O699&gt;0,O699/K699,0)</f>
        <v>0</v>
      </c>
      <c r="Y699" s="80">
        <f t="shared" si="3272"/>
        <v>0</v>
      </c>
      <c r="Z699" s="80">
        <f t="shared" si="2391"/>
        <v>1</v>
      </c>
      <c r="AA699" s="81"/>
      <c r="AB699" s="81"/>
      <c r="AC699" s="81"/>
      <c r="AD699" s="81"/>
      <c r="AE699" s="128"/>
      <c r="AF699" s="83"/>
      <c r="AG699" s="83"/>
      <c r="AH699" s="83"/>
      <c r="AI699" s="81"/>
      <c r="AJ699" s="81"/>
      <c r="AK699" s="81"/>
      <c r="AL699" s="81"/>
      <c r="AM699" s="81"/>
      <c r="AN699" s="81"/>
      <c r="AO699" s="81"/>
      <c r="AP699" s="81"/>
      <c r="AQ699" s="81"/>
      <c r="AR699" s="81"/>
      <c r="AS699" s="81"/>
      <c r="AT699" s="81"/>
      <c r="AU699" s="81"/>
      <c r="AV699" s="81"/>
      <c r="AW699" s="81"/>
      <c r="AX699" s="81"/>
      <c r="AY699" s="81"/>
      <c r="AZ699" s="81"/>
      <c r="BA699" s="81"/>
      <c r="BB699" s="81"/>
      <c r="BC699" s="81"/>
      <c r="BD699" s="81"/>
      <c r="BE699" s="82"/>
      <c r="BF699" s="81"/>
      <c r="BG699" s="82">
        <v>56050</v>
      </c>
      <c r="BH699" s="81"/>
      <c r="BI699" s="81"/>
      <c r="BJ699" s="81"/>
      <c r="BK699" s="82">
        <v>0</v>
      </c>
      <c r="BL699" s="82">
        <v>0</v>
      </c>
      <c r="BM699" s="82">
        <v>56050</v>
      </c>
      <c r="BN699" s="81">
        <f t="shared" si="3239"/>
        <v>0</v>
      </c>
      <c r="BO699" s="75">
        <f t="shared" si="3240"/>
        <v>0</v>
      </c>
      <c r="BP699" s="81">
        <f t="shared" si="3241"/>
        <v>0</v>
      </c>
      <c r="BQ699" s="81">
        <f t="shared" si="3242"/>
        <v>0</v>
      </c>
      <c r="BR699" s="81">
        <f t="shared" si="3243"/>
        <v>0</v>
      </c>
      <c r="BS699" s="81">
        <f t="shared" si="3244"/>
        <v>0</v>
      </c>
      <c r="BT699" s="81">
        <f t="shared" si="3245"/>
        <v>0</v>
      </c>
      <c r="BU699" s="81">
        <f t="shared" si="3246"/>
        <v>0</v>
      </c>
      <c r="BV699" s="81">
        <f t="shared" si="3247"/>
        <v>0</v>
      </c>
      <c r="BW699" s="81">
        <f t="shared" si="3248"/>
        <v>0</v>
      </c>
      <c r="BX699" s="1"/>
      <c r="BY699" s="1"/>
      <c r="BZ699" s="1"/>
      <c r="CA699" s="1"/>
      <c r="CB699" s="1"/>
      <c r="CC699" s="1"/>
      <c r="CD699" s="1"/>
      <c r="CE699" s="1"/>
      <c r="CF699" s="1"/>
      <c r="CG699" s="1"/>
    </row>
    <row r="700" spans="1:85" ht="15.75" customHeight="1" outlineLevel="1">
      <c r="A700" s="134" t="s">
        <v>1072</v>
      </c>
      <c r="B700" s="132"/>
      <c r="C700" s="86" t="s">
        <v>956</v>
      </c>
      <c r="D700" s="135" t="s">
        <v>1073</v>
      </c>
      <c r="E700" s="163"/>
      <c r="F700" s="164"/>
      <c r="G700" s="71">
        <f t="shared" si="3232"/>
        <v>0</v>
      </c>
      <c r="H700" s="70"/>
      <c r="I700" s="72">
        <f t="shared" si="2631"/>
        <v>0</v>
      </c>
      <c r="J700" s="72">
        <f t="shared" si="2632"/>
        <v>0</v>
      </c>
      <c r="K700" s="94"/>
      <c r="L700" s="75"/>
      <c r="M700" s="81"/>
      <c r="N700" s="73">
        <v>3500</v>
      </c>
      <c r="O700" s="77">
        <f t="shared" ref="O700:Q700" si="3273">AA700+AD700+AG700+AJ700+AM700+AP700+AS700+AV700+AY700+BB700+BE700+BH700</f>
        <v>0</v>
      </c>
      <c r="P700" s="77">
        <f t="shared" si="3273"/>
        <v>0</v>
      </c>
      <c r="Q700" s="77">
        <f t="shared" si="3273"/>
        <v>3500</v>
      </c>
      <c r="R700" s="77">
        <f t="shared" ref="R700:T700" si="3274">IF(BK700=0,SUM(AA700+AD700+AG700+AJ700+AM700+AP700+AS700+AV700+AY700+BB700+BE700+BH700),BK700)</f>
        <v>0</v>
      </c>
      <c r="S700" s="77">
        <f t="shared" si="3274"/>
        <v>0</v>
      </c>
      <c r="T700" s="77">
        <f t="shared" si="3274"/>
        <v>3500</v>
      </c>
      <c r="U700" s="79">
        <f t="shared" si="3235"/>
        <v>0</v>
      </c>
      <c r="V700" s="79">
        <f t="shared" si="3236"/>
        <v>0</v>
      </c>
      <c r="W700" s="78">
        <f t="shared" si="3237"/>
        <v>0</v>
      </c>
      <c r="X700" s="80">
        <f t="shared" ref="X700:Y700" si="3275">IF(O700&gt;0,O700/K700,0)</f>
        <v>0</v>
      </c>
      <c r="Y700" s="80">
        <f t="shared" si="3275"/>
        <v>0</v>
      </c>
      <c r="Z700" s="80">
        <f t="shared" si="2391"/>
        <v>1</v>
      </c>
      <c r="AA700" s="81"/>
      <c r="AB700" s="81"/>
      <c r="AC700" s="81"/>
      <c r="AD700" s="81"/>
      <c r="AE700" s="128"/>
      <c r="AF700" s="83"/>
      <c r="AG700" s="83"/>
      <c r="AH700" s="83"/>
      <c r="AI700" s="81"/>
      <c r="AJ700" s="81"/>
      <c r="AK700" s="81"/>
      <c r="AL700" s="81"/>
      <c r="AM700" s="81"/>
      <c r="AN700" s="81"/>
      <c r="AO700" s="81"/>
      <c r="AP700" s="81"/>
      <c r="AQ700" s="81"/>
      <c r="AR700" s="81"/>
      <c r="AS700" s="81"/>
      <c r="AT700" s="81"/>
      <c r="AU700" s="81"/>
      <c r="AV700" s="82"/>
      <c r="AW700" s="81"/>
      <c r="AX700" s="81"/>
      <c r="AY700" s="81"/>
      <c r="AZ700" s="81"/>
      <c r="BA700" s="81"/>
      <c r="BB700" s="81"/>
      <c r="BC700" s="81"/>
      <c r="BD700" s="81"/>
      <c r="BE700" s="81"/>
      <c r="BF700" s="81"/>
      <c r="BG700" s="81">
        <f>3500</f>
        <v>3500</v>
      </c>
      <c r="BH700" s="81"/>
      <c r="BI700" s="81"/>
      <c r="BJ700" s="81"/>
      <c r="BK700" s="82">
        <v>0</v>
      </c>
      <c r="BL700" s="82">
        <v>0</v>
      </c>
      <c r="BM700" s="82">
        <v>3500</v>
      </c>
      <c r="BN700" s="81">
        <f t="shared" si="3239"/>
        <v>0</v>
      </c>
      <c r="BO700" s="75">
        <f t="shared" si="3240"/>
        <v>0</v>
      </c>
      <c r="BP700" s="81">
        <f t="shared" si="3241"/>
        <v>0</v>
      </c>
      <c r="BQ700" s="81">
        <f t="shared" si="3242"/>
        <v>0</v>
      </c>
      <c r="BR700" s="81">
        <f t="shared" si="3243"/>
        <v>0</v>
      </c>
      <c r="BS700" s="81">
        <f t="shared" si="3244"/>
        <v>0</v>
      </c>
      <c r="BT700" s="81">
        <f t="shared" si="3245"/>
        <v>0</v>
      </c>
      <c r="BU700" s="81">
        <f t="shared" si="3246"/>
        <v>0</v>
      </c>
      <c r="BV700" s="81">
        <f t="shared" si="3247"/>
        <v>0</v>
      </c>
      <c r="BW700" s="81">
        <f t="shared" si="3248"/>
        <v>0</v>
      </c>
      <c r="BX700" s="1"/>
      <c r="BY700" s="1"/>
      <c r="BZ700" s="1"/>
      <c r="CA700" s="1"/>
      <c r="CB700" s="1"/>
      <c r="CC700" s="1"/>
      <c r="CD700" s="1"/>
      <c r="CE700" s="1"/>
      <c r="CF700" s="1"/>
      <c r="CG700" s="1"/>
    </row>
    <row r="701" spans="1:85" ht="15.75" customHeight="1" outlineLevel="1">
      <c r="A701" s="134" t="s">
        <v>1074</v>
      </c>
      <c r="B701" s="132"/>
      <c r="C701" s="86" t="s">
        <v>956</v>
      </c>
      <c r="D701" s="135" t="s">
        <v>1075</v>
      </c>
      <c r="E701" s="163"/>
      <c r="F701" s="164"/>
      <c r="G701" s="71">
        <f t="shared" si="3232"/>
        <v>0</v>
      </c>
      <c r="H701" s="70"/>
      <c r="I701" s="72">
        <f t="shared" si="2631"/>
        <v>0</v>
      </c>
      <c r="J701" s="72">
        <f t="shared" si="2632"/>
        <v>0</v>
      </c>
      <c r="K701" s="94"/>
      <c r="L701" s="75"/>
      <c r="M701" s="81"/>
      <c r="N701" s="73">
        <v>9500</v>
      </c>
      <c r="O701" s="77">
        <f t="shared" ref="O701:Q701" si="3276">AA701+AD701+AG701+AJ701+AM701+AP701+AS701+AV701+AY701+BB701+BE701+BH701</f>
        <v>0</v>
      </c>
      <c r="P701" s="77">
        <f t="shared" si="3276"/>
        <v>0</v>
      </c>
      <c r="Q701" s="77">
        <f t="shared" si="3276"/>
        <v>9500</v>
      </c>
      <c r="R701" s="77">
        <f t="shared" ref="R701:T701" si="3277">IF(BK701=0,SUM(AA701+AD701+AG701+AJ701+AM701+AP701+AS701+AV701+AY701+BB701+BE701+BH701),BK701)</f>
        <v>0</v>
      </c>
      <c r="S701" s="77">
        <f t="shared" si="3277"/>
        <v>0</v>
      </c>
      <c r="T701" s="77">
        <f t="shared" si="3277"/>
        <v>9500</v>
      </c>
      <c r="U701" s="79">
        <f t="shared" si="3235"/>
        <v>0</v>
      </c>
      <c r="V701" s="79">
        <f t="shared" si="3236"/>
        <v>0</v>
      </c>
      <c r="W701" s="78">
        <f t="shared" si="3237"/>
        <v>0</v>
      </c>
      <c r="X701" s="80">
        <f t="shared" ref="X701:Y701" si="3278">IF(O701&gt;0,O701/K701,0)</f>
        <v>0</v>
      </c>
      <c r="Y701" s="80">
        <f t="shared" si="3278"/>
        <v>0</v>
      </c>
      <c r="Z701" s="80">
        <f t="shared" si="2391"/>
        <v>1</v>
      </c>
      <c r="AA701" s="81"/>
      <c r="AB701" s="81"/>
      <c r="AC701" s="81"/>
      <c r="AD701" s="81"/>
      <c r="AE701" s="128"/>
      <c r="AF701" s="83"/>
      <c r="AG701" s="83"/>
      <c r="AH701" s="83"/>
      <c r="AI701" s="81"/>
      <c r="AJ701" s="81"/>
      <c r="AK701" s="81"/>
      <c r="AL701" s="81"/>
      <c r="AM701" s="81"/>
      <c r="AN701" s="81"/>
      <c r="AO701" s="81"/>
      <c r="AP701" s="81"/>
      <c r="AQ701" s="81"/>
      <c r="AR701" s="81"/>
      <c r="AS701" s="81"/>
      <c r="AT701" s="81"/>
      <c r="AU701" s="81"/>
      <c r="AV701" s="82"/>
      <c r="AW701" s="81"/>
      <c r="AX701" s="81"/>
      <c r="AY701" s="81"/>
      <c r="AZ701" s="81"/>
      <c r="BA701" s="81"/>
      <c r="BB701" s="81"/>
      <c r="BC701" s="81"/>
      <c r="BD701" s="81"/>
      <c r="BE701" s="81"/>
      <c r="BF701" s="81"/>
      <c r="BG701" s="81"/>
      <c r="BH701" s="81"/>
      <c r="BI701" s="81"/>
      <c r="BJ701" s="81">
        <f>9500</f>
        <v>9500</v>
      </c>
      <c r="BK701" s="82">
        <v>0</v>
      </c>
      <c r="BL701" s="82">
        <v>0</v>
      </c>
      <c r="BM701" s="82">
        <v>9500</v>
      </c>
      <c r="BN701" s="81">
        <f t="shared" si="3239"/>
        <v>0</v>
      </c>
      <c r="BO701" s="75">
        <f t="shared" si="3240"/>
        <v>0</v>
      </c>
      <c r="BP701" s="81">
        <f t="shared" si="3241"/>
        <v>0</v>
      </c>
      <c r="BQ701" s="81">
        <f t="shared" si="3242"/>
        <v>0</v>
      </c>
      <c r="BR701" s="81">
        <f t="shared" si="3243"/>
        <v>0</v>
      </c>
      <c r="BS701" s="81">
        <f t="shared" si="3244"/>
        <v>0</v>
      </c>
      <c r="BT701" s="81">
        <f t="shared" si="3245"/>
        <v>0</v>
      </c>
      <c r="BU701" s="81">
        <f t="shared" si="3246"/>
        <v>0</v>
      </c>
      <c r="BV701" s="81">
        <f t="shared" si="3247"/>
        <v>0</v>
      </c>
      <c r="BW701" s="81">
        <f t="shared" si="3248"/>
        <v>0</v>
      </c>
      <c r="BX701" s="1"/>
      <c r="BY701" s="1"/>
      <c r="BZ701" s="1"/>
      <c r="CA701" s="1"/>
      <c r="CB701" s="1"/>
      <c r="CC701" s="1"/>
      <c r="CD701" s="1"/>
      <c r="CE701" s="1"/>
      <c r="CF701" s="1"/>
      <c r="CG701" s="1"/>
    </row>
    <row r="702" spans="1:85" ht="15.75">
      <c r="A702" s="206"/>
      <c r="B702" s="207"/>
      <c r="C702" s="208"/>
      <c r="D702" s="209" t="s">
        <v>224</v>
      </c>
      <c r="E702" s="202">
        <f t="shared" ref="E702:H702" si="3279">SUM(E703)</f>
        <v>0</v>
      </c>
      <c r="F702" s="203">
        <f t="shared" si="3279"/>
        <v>0</v>
      </c>
      <c r="G702" s="203">
        <f t="shared" si="3279"/>
        <v>0</v>
      </c>
      <c r="H702" s="203">
        <f t="shared" si="3279"/>
        <v>0</v>
      </c>
      <c r="I702" s="204">
        <f t="shared" si="2631"/>
        <v>0</v>
      </c>
      <c r="J702" s="204">
        <f t="shared" si="2632"/>
        <v>0</v>
      </c>
      <c r="K702" s="203">
        <f t="shared" ref="K702:W702" si="3280">SUM(K703)</f>
        <v>0</v>
      </c>
      <c r="L702" s="203">
        <f t="shared" si="3280"/>
        <v>0</v>
      </c>
      <c r="M702" s="203">
        <f t="shared" si="3280"/>
        <v>0</v>
      </c>
      <c r="N702" s="203">
        <f t="shared" si="3280"/>
        <v>114086.12000000001</v>
      </c>
      <c r="O702" s="203">
        <f t="shared" si="3280"/>
        <v>0</v>
      </c>
      <c r="P702" s="203">
        <f t="shared" si="3280"/>
        <v>0</v>
      </c>
      <c r="Q702" s="203">
        <f t="shared" si="3280"/>
        <v>114086.12</v>
      </c>
      <c r="R702" s="203">
        <f t="shared" si="3280"/>
        <v>0</v>
      </c>
      <c r="S702" s="203">
        <f t="shared" si="3280"/>
        <v>0</v>
      </c>
      <c r="T702" s="203">
        <f t="shared" si="3280"/>
        <v>101536.64</v>
      </c>
      <c r="U702" s="203">
        <f t="shared" si="3280"/>
        <v>0</v>
      </c>
      <c r="V702" s="203">
        <f t="shared" si="3280"/>
        <v>0</v>
      </c>
      <c r="W702" s="203">
        <f t="shared" si="3280"/>
        <v>0</v>
      </c>
      <c r="X702" s="205">
        <f t="shared" ref="X702:Y702" si="3281">IF(O702&gt;0,O702/K702,0)</f>
        <v>0</v>
      </c>
      <c r="Y702" s="205">
        <f t="shared" si="3281"/>
        <v>0</v>
      </c>
      <c r="Z702" s="205">
        <f t="shared" si="2391"/>
        <v>0.99999999999999989</v>
      </c>
      <c r="AA702" s="203">
        <f t="shared" ref="AA702:BW702" si="3282">SUM(AA703)</f>
        <v>0</v>
      </c>
      <c r="AB702" s="203">
        <f t="shared" si="3282"/>
        <v>0</v>
      </c>
      <c r="AC702" s="203">
        <f t="shared" si="3282"/>
        <v>0</v>
      </c>
      <c r="AD702" s="203">
        <f t="shared" si="3282"/>
        <v>0</v>
      </c>
      <c r="AE702" s="203">
        <f t="shared" si="3282"/>
        <v>0</v>
      </c>
      <c r="AF702" s="203">
        <f t="shared" si="3282"/>
        <v>0</v>
      </c>
      <c r="AG702" s="203">
        <f t="shared" si="3282"/>
        <v>0</v>
      </c>
      <c r="AH702" s="203">
        <f t="shared" si="3282"/>
        <v>0</v>
      </c>
      <c r="AI702" s="203">
        <f t="shared" si="3282"/>
        <v>0</v>
      </c>
      <c r="AJ702" s="203">
        <f t="shared" si="3282"/>
        <v>0</v>
      </c>
      <c r="AK702" s="203">
        <f t="shared" si="3282"/>
        <v>0</v>
      </c>
      <c r="AL702" s="203">
        <f t="shared" si="3282"/>
        <v>0</v>
      </c>
      <c r="AM702" s="203">
        <f t="shared" si="3282"/>
        <v>0</v>
      </c>
      <c r="AN702" s="203">
        <f t="shared" si="3282"/>
        <v>0</v>
      </c>
      <c r="AO702" s="203">
        <f t="shared" si="3282"/>
        <v>0</v>
      </c>
      <c r="AP702" s="203">
        <f t="shared" si="3282"/>
        <v>0</v>
      </c>
      <c r="AQ702" s="203">
        <f t="shared" si="3282"/>
        <v>0</v>
      </c>
      <c r="AR702" s="203">
        <f t="shared" si="3282"/>
        <v>0</v>
      </c>
      <c r="AS702" s="203">
        <f t="shared" si="3282"/>
        <v>0</v>
      </c>
      <c r="AT702" s="203">
        <f t="shared" si="3282"/>
        <v>0</v>
      </c>
      <c r="AU702" s="203">
        <f t="shared" si="3282"/>
        <v>0</v>
      </c>
      <c r="AV702" s="203">
        <f t="shared" si="3282"/>
        <v>0</v>
      </c>
      <c r="AW702" s="203">
        <f t="shared" si="3282"/>
        <v>0</v>
      </c>
      <c r="AX702" s="203">
        <f t="shared" si="3282"/>
        <v>0</v>
      </c>
      <c r="AY702" s="203">
        <f t="shared" si="3282"/>
        <v>0</v>
      </c>
      <c r="AZ702" s="203">
        <f t="shared" si="3282"/>
        <v>0</v>
      </c>
      <c r="BA702" s="203">
        <f t="shared" si="3282"/>
        <v>0</v>
      </c>
      <c r="BB702" s="203">
        <f t="shared" si="3282"/>
        <v>0</v>
      </c>
      <c r="BC702" s="203">
        <f t="shared" si="3282"/>
        <v>0</v>
      </c>
      <c r="BD702" s="203">
        <f t="shared" si="3282"/>
        <v>0</v>
      </c>
      <c r="BE702" s="203">
        <f t="shared" si="3282"/>
        <v>0</v>
      </c>
      <c r="BF702" s="203">
        <f t="shared" si="3282"/>
        <v>0</v>
      </c>
      <c r="BG702" s="203">
        <f t="shared" si="3282"/>
        <v>0</v>
      </c>
      <c r="BH702" s="203">
        <f t="shared" si="3282"/>
        <v>0</v>
      </c>
      <c r="BI702" s="203">
        <f t="shared" si="3282"/>
        <v>0</v>
      </c>
      <c r="BJ702" s="203">
        <f t="shared" si="3282"/>
        <v>114086.12</v>
      </c>
      <c r="BK702" s="203">
        <f t="shared" si="3282"/>
        <v>0</v>
      </c>
      <c r="BL702" s="203">
        <f t="shared" si="3282"/>
        <v>0</v>
      </c>
      <c r="BM702" s="203">
        <f t="shared" si="3282"/>
        <v>101536.64</v>
      </c>
      <c r="BN702" s="203">
        <f t="shared" si="3282"/>
        <v>0</v>
      </c>
      <c r="BO702" s="203">
        <f t="shared" si="3282"/>
        <v>12549.479999999996</v>
      </c>
      <c r="BP702" s="203">
        <f t="shared" si="3282"/>
        <v>12549.479999999996</v>
      </c>
      <c r="BQ702" s="203">
        <f t="shared" si="3282"/>
        <v>0</v>
      </c>
      <c r="BR702" s="203">
        <f t="shared" si="3282"/>
        <v>0</v>
      </c>
      <c r="BS702" s="203">
        <f t="shared" si="3282"/>
        <v>0</v>
      </c>
      <c r="BT702" s="203">
        <f t="shared" si="3282"/>
        <v>0</v>
      </c>
      <c r="BU702" s="203">
        <f t="shared" si="3282"/>
        <v>12549.479999999996</v>
      </c>
      <c r="BV702" s="203">
        <f t="shared" si="3282"/>
        <v>0</v>
      </c>
      <c r="BW702" s="203">
        <f t="shared" si="3282"/>
        <v>12549.479999999996</v>
      </c>
      <c r="BX702" s="65"/>
      <c r="BY702" s="65"/>
      <c r="BZ702" s="65"/>
      <c r="CA702" s="65"/>
      <c r="CB702" s="65"/>
      <c r="CC702" s="65"/>
      <c r="CD702" s="65"/>
      <c r="CE702" s="65"/>
      <c r="CF702" s="65"/>
      <c r="CG702" s="65"/>
    </row>
    <row r="703" spans="1:85" ht="15.75" customHeight="1">
      <c r="A703" s="125" t="s">
        <v>1076</v>
      </c>
      <c r="B703" s="283"/>
      <c r="C703" s="86" t="s">
        <v>225</v>
      </c>
      <c r="D703" s="135" t="s">
        <v>1077</v>
      </c>
      <c r="E703" s="70"/>
      <c r="F703" s="71"/>
      <c r="G703" s="71">
        <f>E703-F703</f>
        <v>0</v>
      </c>
      <c r="H703" s="70"/>
      <c r="I703" s="72">
        <f t="shared" si="2631"/>
        <v>0</v>
      </c>
      <c r="J703" s="72">
        <f t="shared" si="2632"/>
        <v>0</v>
      </c>
      <c r="K703" s="94"/>
      <c r="L703" s="409"/>
      <c r="M703" s="81"/>
      <c r="N703" s="88">
        <f>114086.13-0.01</f>
        <v>114086.12000000001</v>
      </c>
      <c r="O703" s="77">
        <f t="shared" ref="O703:Q703" si="3283">AA703+AD703+AG703+AJ703+AM703+AP703+AS703+AV703+AY703+BB703+BE703+BH703</f>
        <v>0</v>
      </c>
      <c r="P703" s="77">
        <f t="shared" si="3283"/>
        <v>0</v>
      </c>
      <c r="Q703" s="77">
        <f t="shared" si="3283"/>
        <v>114086.12</v>
      </c>
      <c r="R703" s="77">
        <f t="shared" ref="R703:T703" si="3284">IF(BK703=0,SUM(AA703+AD703+AG703+AJ703+AM703+AP703+AS703+AV703+AY703+BB703+BE703+BH703),BK703)</f>
        <v>0</v>
      </c>
      <c r="S703" s="77">
        <f t="shared" si="3284"/>
        <v>0</v>
      </c>
      <c r="T703" s="77">
        <f t="shared" si="3284"/>
        <v>101536.64</v>
      </c>
      <c r="U703" s="78">
        <f>K703-O703</f>
        <v>0</v>
      </c>
      <c r="V703" s="79">
        <f>L703-M703-S703</f>
        <v>0</v>
      </c>
      <c r="W703" s="78">
        <f>N703-Q703</f>
        <v>0</v>
      </c>
      <c r="X703" s="80">
        <f t="shared" ref="X703:Y703" si="3285">IF(O703&gt;0,O703/K703,0)</f>
        <v>0</v>
      </c>
      <c r="Y703" s="80">
        <f t="shared" si="3285"/>
        <v>0</v>
      </c>
      <c r="Z703" s="80">
        <f t="shared" si="2391"/>
        <v>0.99999999999999989</v>
      </c>
      <c r="AA703" s="82"/>
      <c r="AB703" s="81"/>
      <c r="AC703" s="81"/>
      <c r="AD703" s="82"/>
      <c r="AE703" s="83"/>
      <c r="AF703" s="83"/>
      <c r="AG703" s="83"/>
      <c r="AH703" s="83"/>
      <c r="AI703" s="81"/>
      <c r="AJ703" s="81"/>
      <c r="AK703" s="81"/>
      <c r="AL703" s="81"/>
      <c r="AM703" s="82"/>
      <c r="AN703" s="81"/>
      <c r="AO703" s="81"/>
      <c r="AP703" s="81"/>
      <c r="AQ703" s="81"/>
      <c r="AR703" s="81"/>
      <c r="AS703" s="81"/>
      <c r="AT703" s="81"/>
      <c r="AU703" s="81"/>
      <c r="AV703" s="81"/>
      <c r="AW703" s="81"/>
      <c r="AX703" s="81"/>
      <c r="AY703" s="81"/>
      <c r="AZ703" s="81"/>
      <c r="BA703" s="81"/>
      <c r="BB703" s="81"/>
      <c r="BC703" s="81"/>
      <c r="BD703" s="81"/>
      <c r="BE703" s="81"/>
      <c r="BF703" s="81"/>
      <c r="BG703" s="81"/>
      <c r="BH703" s="81"/>
      <c r="BI703" s="81"/>
      <c r="BJ703" s="81">
        <f>57043.06+57043.06</f>
        <v>114086.12</v>
      </c>
      <c r="BK703" s="82">
        <v>0</v>
      </c>
      <c r="BL703" s="82">
        <v>0</v>
      </c>
      <c r="BM703" s="82">
        <f>114086.12-12549.48</f>
        <v>101536.64</v>
      </c>
      <c r="BN703" s="81">
        <f>IF(O703-BK703&gt;0,O703-BK703,0)</f>
        <v>0</v>
      </c>
      <c r="BO703" s="210">
        <f>IF(Q703-BM703&gt;0,Q703-BM703,0)</f>
        <v>12549.479999999996</v>
      </c>
      <c r="BP703" s="81">
        <f>IF(BN703+BO703&gt;0,BN703+BO703,0)</f>
        <v>12549.479999999996</v>
      </c>
      <c r="BQ703" s="81">
        <f>IF(U703=0,0,U703)</f>
        <v>0</v>
      </c>
      <c r="BR703" s="81">
        <f>IF(W703=0,0,W703)</f>
        <v>0</v>
      </c>
      <c r="BS703" s="81">
        <f>IF(BQ703+BR703&gt;0,BQ703+BR703,0)</f>
        <v>0</v>
      </c>
      <c r="BT703" s="81">
        <f>IF(V703&gt;0,V703,0)</f>
        <v>0</v>
      </c>
      <c r="BU703" s="81">
        <f>IF(BP703=0,0,BP703)</f>
        <v>12549.479999999996</v>
      </c>
      <c r="BV703" s="81">
        <f>IF(BS703=0,0,BS703)</f>
        <v>0</v>
      </c>
      <c r="BW703" s="81">
        <f>IF(BP703+BT703+BV703&gt;0,BP703+BT703+BV703,0)</f>
        <v>12549.479999999996</v>
      </c>
      <c r="BX703" s="1"/>
      <c r="BY703" s="1"/>
      <c r="BZ703" s="1"/>
      <c r="CA703" s="1"/>
      <c r="CB703" s="1"/>
      <c r="CC703" s="1"/>
      <c r="CD703" s="1"/>
      <c r="CE703" s="1"/>
      <c r="CF703" s="1"/>
      <c r="CG703" s="1"/>
    </row>
    <row r="704" spans="1:85" ht="15.75">
      <c r="A704" s="206"/>
      <c r="B704" s="207"/>
      <c r="C704" s="208"/>
      <c r="D704" s="209" t="s">
        <v>1078</v>
      </c>
      <c r="E704" s="202">
        <f t="shared" ref="E704:H704" si="3286">SUM(E705)</f>
        <v>0</v>
      </c>
      <c r="F704" s="203">
        <f t="shared" si="3286"/>
        <v>0</v>
      </c>
      <c r="G704" s="203">
        <f t="shared" si="3286"/>
        <v>0</v>
      </c>
      <c r="H704" s="203">
        <f t="shared" si="3286"/>
        <v>0</v>
      </c>
      <c r="I704" s="204">
        <f t="shared" si="2631"/>
        <v>0</v>
      </c>
      <c r="J704" s="204">
        <f t="shared" si="2632"/>
        <v>0</v>
      </c>
      <c r="K704" s="203">
        <f t="shared" ref="K704:W704" si="3287">SUM(K705)</f>
        <v>0</v>
      </c>
      <c r="L704" s="203">
        <f t="shared" si="3287"/>
        <v>0</v>
      </c>
      <c r="M704" s="203">
        <f t="shared" si="3287"/>
        <v>0</v>
      </c>
      <c r="N704" s="203">
        <f t="shared" si="3287"/>
        <v>7350</v>
      </c>
      <c r="O704" s="203">
        <f t="shared" si="3287"/>
        <v>0</v>
      </c>
      <c r="P704" s="203">
        <f t="shared" si="3287"/>
        <v>0</v>
      </c>
      <c r="Q704" s="203">
        <f t="shared" si="3287"/>
        <v>7350</v>
      </c>
      <c r="R704" s="203">
        <f t="shared" si="3287"/>
        <v>0</v>
      </c>
      <c r="S704" s="203">
        <f t="shared" si="3287"/>
        <v>0</v>
      </c>
      <c r="T704" s="203">
        <f t="shared" si="3287"/>
        <v>7350</v>
      </c>
      <c r="U704" s="203">
        <f t="shared" si="3287"/>
        <v>0</v>
      </c>
      <c r="V704" s="203">
        <f t="shared" si="3287"/>
        <v>0</v>
      </c>
      <c r="W704" s="203">
        <f t="shared" si="3287"/>
        <v>0</v>
      </c>
      <c r="X704" s="205">
        <f t="shared" ref="X704:Y704" si="3288">IF(O704&gt;0,O704/K704,0)</f>
        <v>0</v>
      </c>
      <c r="Y704" s="205">
        <f t="shared" si="3288"/>
        <v>0</v>
      </c>
      <c r="Z704" s="205">
        <f t="shared" si="2391"/>
        <v>1</v>
      </c>
      <c r="AA704" s="203">
        <f t="shared" ref="AA704:BW704" si="3289">SUM(AA705)</f>
        <v>0</v>
      </c>
      <c r="AB704" s="203">
        <f t="shared" si="3289"/>
        <v>0</v>
      </c>
      <c r="AC704" s="203">
        <f t="shared" si="3289"/>
        <v>0</v>
      </c>
      <c r="AD704" s="203">
        <f t="shared" si="3289"/>
        <v>0</v>
      </c>
      <c r="AE704" s="203">
        <f t="shared" si="3289"/>
        <v>0</v>
      </c>
      <c r="AF704" s="203">
        <f t="shared" si="3289"/>
        <v>0</v>
      </c>
      <c r="AG704" s="203">
        <f t="shared" si="3289"/>
        <v>0</v>
      </c>
      <c r="AH704" s="203">
        <f t="shared" si="3289"/>
        <v>0</v>
      </c>
      <c r="AI704" s="203">
        <f t="shared" si="3289"/>
        <v>0</v>
      </c>
      <c r="AJ704" s="203">
        <f t="shared" si="3289"/>
        <v>0</v>
      </c>
      <c r="AK704" s="203">
        <f t="shared" si="3289"/>
        <v>0</v>
      </c>
      <c r="AL704" s="203">
        <f t="shared" si="3289"/>
        <v>0</v>
      </c>
      <c r="AM704" s="203">
        <f t="shared" si="3289"/>
        <v>0</v>
      </c>
      <c r="AN704" s="203">
        <f t="shared" si="3289"/>
        <v>0</v>
      </c>
      <c r="AO704" s="203">
        <f t="shared" si="3289"/>
        <v>0</v>
      </c>
      <c r="AP704" s="203">
        <f t="shared" si="3289"/>
        <v>0</v>
      </c>
      <c r="AQ704" s="203">
        <f t="shared" si="3289"/>
        <v>0</v>
      </c>
      <c r="AR704" s="203">
        <f t="shared" si="3289"/>
        <v>0</v>
      </c>
      <c r="AS704" s="203">
        <f t="shared" si="3289"/>
        <v>0</v>
      </c>
      <c r="AT704" s="203">
        <f t="shared" si="3289"/>
        <v>0</v>
      </c>
      <c r="AU704" s="203">
        <f t="shared" si="3289"/>
        <v>0</v>
      </c>
      <c r="AV704" s="203">
        <f t="shared" si="3289"/>
        <v>0</v>
      </c>
      <c r="AW704" s="203">
        <f t="shared" si="3289"/>
        <v>0</v>
      </c>
      <c r="AX704" s="203">
        <f t="shared" si="3289"/>
        <v>0</v>
      </c>
      <c r="AY704" s="203">
        <f t="shared" si="3289"/>
        <v>0</v>
      </c>
      <c r="AZ704" s="203">
        <f t="shared" si="3289"/>
        <v>0</v>
      </c>
      <c r="BA704" s="203">
        <f t="shared" si="3289"/>
        <v>0</v>
      </c>
      <c r="BB704" s="203">
        <f t="shared" si="3289"/>
        <v>0</v>
      </c>
      <c r="BC704" s="203">
        <f t="shared" si="3289"/>
        <v>0</v>
      </c>
      <c r="BD704" s="203">
        <f t="shared" si="3289"/>
        <v>7350</v>
      </c>
      <c r="BE704" s="203">
        <f t="shared" si="3289"/>
        <v>0</v>
      </c>
      <c r="BF704" s="203">
        <f t="shared" si="3289"/>
        <v>0</v>
      </c>
      <c r="BG704" s="203">
        <f t="shared" si="3289"/>
        <v>0</v>
      </c>
      <c r="BH704" s="203">
        <f t="shared" si="3289"/>
        <v>0</v>
      </c>
      <c r="BI704" s="203">
        <f t="shared" si="3289"/>
        <v>0</v>
      </c>
      <c r="BJ704" s="203">
        <f t="shared" si="3289"/>
        <v>0</v>
      </c>
      <c r="BK704" s="203">
        <f t="shared" si="3289"/>
        <v>0</v>
      </c>
      <c r="BL704" s="203">
        <f t="shared" si="3289"/>
        <v>0</v>
      </c>
      <c r="BM704" s="203">
        <f t="shared" si="3289"/>
        <v>7350</v>
      </c>
      <c r="BN704" s="203">
        <f t="shared" si="3289"/>
        <v>0</v>
      </c>
      <c r="BO704" s="203">
        <f t="shared" si="3289"/>
        <v>0</v>
      </c>
      <c r="BP704" s="203">
        <f t="shared" si="3289"/>
        <v>0</v>
      </c>
      <c r="BQ704" s="203">
        <f t="shared" si="3289"/>
        <v>0</v>
      </c>
      <c r="BR704" s="203">
        <f t="shared" si="3289"/>
        <v>0</v>
      </c>
      <c r="BS704" s="203">
        <f t="shared" si="3289"/>
        <v>0</v>
      </c>
      <c r="BT704" s="203">
        <f t="shared" si="3289"/>
        <v>0</v>
      </c>
      <c r="BU704" s="203">
        <f t="shared" si="3289"/>
        <v>0</v>
      </c>
      <c r="BV704" s="203">
        <f t="shared" si="3289"/>
        <v>0</v>
      </c>
      <c r="BW704" s="203">
        <f t="shared" si="3289"/>
        <v>0</v>
      </c>
      <c r="BX704" s="65"/>
      <c r="BY704" s="65"/>
      <c r="BZ704" s="65"/>
      <c r="CA704" s="65"/>
      <c r="CB704" s="65"/>
      <c r="CC704" s="65"/>
      <c r="CD704" s="65"/>
      <c r="CE704" s="65"/>
      <c r="CF704" s="65"/>
      <c r="CG704" s="65"/>
    </row>
    <row r="705" spans="1:85" ht="15.75" customHeight="1">
      <c r="A705" s="176" t="s">
        <v>1079</v>
      </c>
      <c r="B705" s="132"/>
      <c r="C705" s="129" t="s">
        <v>1010</v>
      </c>
      <c r="D705" s="412" t="s">
        <v>1080</v>
      </c>
      <c r="E705" s="70"/>
      <c r="F705" s="71"/>
      <c r="G705" s="71">
        <f>E705-F705</f>
        <v>0</v>
      </c>
      <c r="H705" s="70"/>
      <c r="I705" s="72">
        <f t="shared" si="2631"/>
        <v>0</v>
      </c>
      <c r="J705" s="72">
        <f t="shared" si="2632"/>
        <v>0</v>
      </c>
      <c r="K705" s="275"/>
      <c r="L705" s="75"/>
      <c r="M705" s="75"/>
      <c r="N705" s="94">
        <v>7350</v>
      </c>
      <c r="O705" s="77">
        <f t="shared" ref="O705:Q705" si="3290">AA705+AD705+AG705+AJ705+AM705+AP705+AS705+AV705+AY705+BB705+BE705+BH705</f>
        <v>0</v>
      </c>
      <c r="P705" s="77">
        <f t="shared" si="3290"/>
        <v>0</v>
      </c>
      <c r="Q705" s="77">
        <f t="shared" si="3290"/>
        <v>7350</v>
      </c>
      <c r="R705" s="77">
        <f t="shared" ref="R705:T705" si="3291">IF(BK705=0,SUM(AA705+AD705+AG705+AJ705+AM705+AP705+AS705+AV705+AY705+BB705+BE705+BH705),BK705)</f>
        <v>0</v>
      </c>
      <c r="S705" s="77">
        <f t="shared" si="3291"/>
        <v>0</v>
      </c>
      <c r="T705" s="77">
        <f t="shared" si="3291"/>
        <v>7350</v>
      </c>
      <c r="U705" s="78">
        <f>K705-O705</f>
        <v>0</v>
      </c>
      <c r="V705" s="79">
        <f>L705-M705-S705</f>
        <v>0</v>
      </c>
      <c r="W705" s="79">
        <f>N705-Q705</f>
        <v>0</v>
      </c>
      <c r="X705" s="80">
        <f t="shared" ref="X705:Y705" si="3292">IF(O705&gt;0,O705/K705,0)</f>
        <v>0</v>
      </c>
      <c r="Y705" s="80">
        <f t="shared" si="3292"/>
        <v>0</v>
      </c>
      <c r="Z705" s="80">
        <f t="shared" si="2391"/>
        <v>1</v>
      </c>
      <c r="AA705" s="81"/>
      <c r="AB705" s="82"/>
      <c r="AC705" s="81"/>
      <c r="AD705" s="81"/>
      <c r="AE705" s="83"/>
      <c r="AF705" s="83"/>
      <c r="AG705" s="83"/>
      <c r="AH705" s="83"/>
      <c r="AI705" s="81"/>
      <c r="AJ705" s="81"/>
      <c r="AK705" s="81"/>
      <c r="AL705" s="81"/>
      <c r="AM705" s="81"/>
      <c r="AN705" s="81"/>
      <c r="AO705" s="81"/>
      <c r="AP705" s="81"/>
      <c r="AQ705" s="81"/>
      <c r="AR705" s="81"/>
      <c r="AS705" s="81"/>
      <c r="AT705" s="81"/>
      <c r="AU705" s="81"/>
      <c r="AV705" s="81"/>
      <c r="AW705" s="81"/>
      <c r="AX705" s="81"/>
      <c r="AY705" s="81"/>
      <c r="AZ705" s="81"/>
      <c r="BA705" s="81"/>
      <c r="BB705" s="81"/>
      <c r="BC705" s="81"/>
      <c r="BD705" s="82">
        <v>7350</v>
      </c>
      <c r="BE705" s="81"/>
      <c r="BF705" s="81"/>
      <c r="BG705" s="81"/>
      <c r="BH705" s="81"/>
      <c r="BI705" s="81"/>
      <c r="BJ705" s="81"/>
      <c r="BK705" s="82">
        <v>0</v>
      </c>
      <c r="BL705" s="82">
        <v>0</v>
      </c>
      <c r="BM705" s="82">
        <v>7350</v>
      </c>
      <c r="BN705" s="81">
        <f>IF(O705-BK705&gt;0,O705-BK705,0)</f>
        <v>0</v>
      </c>
      <c r="BO705" s="75">
        <f>IF(Q705-BM705&gt;0,Q705-BM705,0)</f>
        <v>0</v>
      </c>
      <c r="BP705" s="81">
        <f>IF(BN705+BO705&gt;0,BN705+BO705,0)</f>
        <v>0</v>
      </c>
      <c r="BQ705" s="81">
        <f>IF(U705=0,0,U705)</f>
        <v>0</v>
      </c>
      <c r="BR705" s="81">
        <f>IF(W705=0,0,W705)</f>
        <v>0</v>
      </c>
      <c r="BS705" s="81">
        <f>IF(BQ705+BR705&gt;0,BQ705+BR705,0)</f>
        <v>0</v>
      </c>
      <c r="BT705" s="81">
        <f>IF(V705&gt;0,V705,0)</f>
        <v>0</v>
      </c>
      <c r="BU705" s="81">
        <f>IF(BP705=0,0,BP705)</f>
        <v>0</v>
      </c>
      <c r="BV705" s="81">
        <f>IF(BS705=0,0,BS705)</f>
        <v>0</v>
      </c>
      <c r="BW705" s="81">
        <f>IF(BP705+BT705+BV705&gt;0,BP705+BT705+BV705,0)</f>
        <v>0</v>
      </c>
      <c r="BX705" s="1"/>
      <c r="BY705" s="1"/>
      <c r="BZ705" s="1"/>
      <c r="CA705" s="1"/>
      <c r="CB705" s="1"/>
      <c r="CC705" s="1"/>
      <c r="CD705" s="1"/>
      <c r="CE705" s="1"/>
      <c r="CF705" s="1"/>
      <c r="CG705" s="1"/>
    </row>
    <row r="706" spans="1:85" ht="21">
      <c r="A706" s="217"/>
      <c r="B706" s="415"/>
      <c r="C706" s="416"/>
      <c r="D706" s="220"/>
      <c r="E706" s="221"/>
      <c r="F706" s="311"/>
      <c r="G706" s="311"/>
      <c r="H706" s="311"/>
      <c r="I706" s="224"/>
      <c r="J706" s="224"/>
      <c r="K706" s="107"/>
      <c r="L706" s="311"/>
      <c r="M706" s="311"/>
      <c r="N706" s="107"/>
      <c r="O706" s="311"/>
      <c r="P706" s="311"/>
      <c r="Q706" s="311"/>
      <c r="R706" s="311"/>
      <c r="S706" s="311"/>
      <c r="T706" s="311"/>
      <c r="U706" s="311"/>
      <c r="V706" s="311"/>
      <c r="W706" s="311"/>
      <c r="X706" s="224"/>
      <c r="Y706" s="224"/>
      <c r="Z706" s="224"/>
      <c r="AA706" s="311"/>
      <c r="AB706" s="311"/>
      <c r="AC706" s="311"/>
      <c r="AD706" s="311"/>
      <c r="AE706" s="311"/>
      <c r="AF706" s="311"/>
      <c r="AG706" s="311"/>
      <c r="AH706" s="311"/>
      <c r="AI706" s="311"/>
      <c r="AJ706" s="311"/>
      <c r="AK706" s="311"/>
      <c r="AL706" s="311"/>
      <c r="AM706" s="311"/>
      <c r="AN706" s="311"/>
      <c r="AO706" s="311"/>
      <c r="AP706" s="311"/>
      <c r="AQ706" s="311"/>
      <c r="AR706" s="311"/>
      <c r="AS706" s="311"/>
      <c r="AT706" s="311"/>
      <c r="AU706" s="311"/>
      <c r="AV706" s="311"/>
      <c r="AW706" s="311"/>
      <c r="AX706" s="311"/>
      <c r="AY706" s="311"/>
      <c r="AZ706" s="311"/>
      <c r="BA706" s="311"/>
      <c r="BB706" s="311"/>
      <c r="BC706" s="311"/>
      <c r="BD706" s="311"/>
      <c r="BE706" s="311"/>
      <c r="BF706" s="311"/>
      <c r="BG706" s="311"/>
      <c r="BH706" s="311"/>
      <c r="BI706" s="311"/>
      <c r="BJ706" s="311"/>
      <c r="BK706" s="311"/>
      <c r="BL706" s="311"/>
      <c r="BM706" s="311"/>
      <c r="BN706" s="311"/>
      <c r="BO706" s="311"/>
      <c r="BP706" s="311"/>
      <c r="BQ706" s="311"/>
      <c r="BR706" s="311"/>
      <c r="BS706" s="311"/>
      <c r="BT706" s="311"/>
      <c r="BU706" s="311"/>
      <c r="BV706" s="311"/>
      <c r="BW706" s="311"/>
      <c r="BX706" s="1"/>
      <c r="BY706" s="1"/>
      <c r="BZ706" s="1"/>
      <c r="CA706" s="1"/>
      <c r="CB706" s="1"/>
      <c r="CC706" s="1"/>
      <c r="CD706" s="1"/>
      <c r="CE706" s="1"/>
      <c r="CF706" s="1"/>
      <c r="CG706" s="1"/>
    </row>
    <row r="707" spans="1:85" ht="21">
      <c r="A707" s="47"/>
      <c r="B707" s="417" t="s">
        <v>1081</v>
      </c>
      <c r="C707" s="49"/>
      <c r="D707" s="50"/>
      <c r="E707" s="51">
        <f t="shared" ref="E707:H707" si="3293">SUM(E708:E714)</f>
        <v>0</v>
      </c>
      <c r="F707" s="51">
        <f t="shared" si="3293"/>
        <v>0</v>
      </c>
      <c r="G707" s="51">
        <f t="shared" si="3293"/>
        <v>0</v>
      </c>
      <c r="H707" s="51">
        <f t="shared" si="3293"/>
        <v>0</v>
      </c>
      <c r="I707" s="53" t="e">
        <f>K707/G707</f>
        <v>#DIV/0!</v>
      </c>
      <c r="J707" s="53" t="e">
        <f>O707/G707</f>
        <v>#DIV/0!</v>
      </c>
      <c r="K707" s="52">
        <f t="shared" ref="K707:W707" si="3294">SUM(K708:K714)</f>
        <v>996924.26</v>
      </c>
      <c r="L707" s="52">
        <f t="shared" si="3294"/>
        <v>0</v>
      </c>
      <c r="M707" s="52">
        <f t="shared" si="3294"/>
        <v>0</v>
      </c>
      <c r="N707" s="52">
        <f t="shared" si="3294"/>
        <v>0</v>
      </c>
      <c r="O707" s="52">
        <f t="shared" si="3294"/>
        <v>996924.25999999989</v>
      </c>
      <c r="P707" s="52">
        <f t="shared" si="3294"/>
        <v>0</v>
      </c>
      <c r="Q707" s="52">
        <f t="shared" si="3294"/>
        <v>0</v>
      </c>
      <c r="R707" s="52">
        <f t="shared" si="3294"/>
        <v>996924.26</v>
      </c>
      <c r="S707" s="52">
        <f t="shared" si="3294"/>
        <v>0</v>
      </c>
      <c r="T707" s="52">
        <f t="shared" si="3294"/>
        <v>0</v>
      </c>
      <c r="U707" s="52">
        <f t="shared" si="3294"/>
        <v>0</v>
      </c>
      <c r="V707" s="52">
        <f t="shared" si="3294"/>
        <v>0</v>
      </c>
      <c r="W707" s="52">
        <f t="shared" si="3294"/>
        <v>0</v>
      </c>
      <c r="X707" s="53">
        <f t="shared" ref="X707:Y707" si="3295">IF(O707&gt;0,O707/K707,0)</f>
        <v>0.99999999999999989</v>
      </c>
      <c r="Y707" s="53">
        <f t="shared" si="3295"/>
        <v>0</v>
      </c>
      <c r="Z707" s="53">
        <f t="shared" ref="Z707:Z715" si="3296">IF(Q707&gt;0,Q707/N707,0)</f>
        <v>0</v>
      </c>
      <c r="AA707" s="52">
        <f t="shared" ref="AA707:BW707" si="3297">SUM(AA708:AA714)</f>
        <v>113832.43</v>
      </c>
      <c r="AB707" s="52">
        <f t="shared" si="3297"/>
        <v>0</v>
      </c>
      <c r="AC707" s="52">
        <f t="shared" si="3297"/>
        <v>0</v>
      </c>
      <c r="AD707" s="52">
        <f t="shared" si="3297"/>
        <v>79132.759999999995</v>
      </c>
      <c r="AE707" s="52">
        <f t="shared" si="3297"/>
        <v>0</v>
      </c>
      <c r="AF707" s="52">
        <f t="shared" si="3297"/>
        <v>0</v>
      </c>
      <c r="AG707" s="52">
        <f t="shared" si="3297"/>
        <v>132546.41</v>
      </c>
      <c r="AH707" s="52">
        <f t="shared" si="3297"/>
        <v>0</v>
      </c>
      <c r="AI707" s="52">
        <f t="shared" si="3297"/>
        <v>0</v>
      </c>
      <c r="AJ707" s="52">
        <f t="shared" si="3297"/>
        <v>145887.85999999999</v>
      </c>
      <c r="AK707" s="52">
        <f t="shared" si="3297"/>
        <v>0</v>
      </c>
      <c r="AL707" s="52">
        <f t="shared" si="3297"/>
        <v>0</v>
      </c>
      <c r="AM707" s="52">
        <f t="shared" si="3297"/>
        <v>64535.839999999997</v>
      </c>
      <c r="AN707" s="52">
        <f t="shared" si="3297"/>
        <v>0</v>
      </c>
      <c r="AO707" s="52">
        <f t="shared" si="3297"/>
        <v>0</v>
      </c>
      <c r="AP707" s="52">
        <f t="shared" si="3297"/>
        <v>90797.58</v>
      </c>
      <c r="AQ707" s="52">
        <f t="shared" si="3297"/>
        <v>0</v>
      </c>
      <c r="AR707" s="52">
        <f t="shared" si="3297"/>
        <v>0</v>
      </c>
      <c r="AS707" s="52">
        <f t="shared" si="3297"/>
        <v>44602.98</v>
      </c>
      <c r="AT707" s="52">
        <f t="shared" si="3297"/>
        <v>0</v>
      </c>
      <c r="AU707" s="52">
        <f t="shared" si="3297"/>
        <v>0</v>
      </c>
      <c r="AV707" s="52">
        <f t="shared" si="3297"/>
        <v>52288.84</v>
      </c>
      <c r="AW707" s="52">
        <f t="shared" si="3297"/>
        <v>0</v>
      </c>
      <c r="AX707" s="52">
        <f t="shared" si="3297"/>
        <v>0</v>
      </c>
      <c r="AY707" s="52">
        <f t="shared" si="3297"/>
        <v>73490.5</v>
      </c>
      <c r="AZ707" s="52">
        <f t="shared" si="3297"/>
        <v>0</v>
      </c>
      <c r="BA707" s="52">
        <f t="shared" si="3297"/>
        <v>0</v>
      </c>
      <c r="BB707" s="52">
        <f t="shared" si="3297"/>
        <v>78598.490000000005</v>
      </c>
      <c r="BC707" s="52">
        <f t="shared" si="3297"/>
        <v>0</v>
      </c>
      <c r="BD707" s="52">
        <f t="shared" si="3297"/>
        <v>0</v>
      </c>
      <c r="BE707" s="52">
        <f t="shared" si="3297"/>
        <v>91174.790000000008</v>
      </c>
      <c r="BF707" s="52">
        <f t="shared" si="3297"/>
        <v>0</v>
      </c>
      <c r="BG707" s="52">
        <f t="shared" si="3297"/>
        <v>0</v>
      </c>
      <c r="BH707" s="52">
        <f t="shared" si="3297"/>
        <v>30035.78</v>
      </c>
      <c r="BI707" s="52">
        <f t="shared" si="3297"/>
        <v>0</v>
      </c>
      <c r="BJ707" s="52">
        <f t="shared" si="3297"/>
        <v>0</v>
      </c>
      <c r="BK707" s="52">
        <f t="shared" si="3297"/>
        <v>996924.26</v>
      </c>
      <c r="BL707" s="52">
        <f t="shared" si="3297"/>
        <v>0</v>
      </c>
      <c r="BM707" s="52">
        <f t="shared" si="3297"/>
        <v>0</v>
      </c>
      <c r="BN707" s="52">
        <f t="shared" si="3297"/>
        <v>1.4551915228366852E-11</v>
      </c>
      <c r="BO707" s="52">
        <f t="shared" si="3297"/>
        <v>0</v>
      </c>
      <c r="BP707" s="52">
        <f t="shared" si="3297"/>
        <v>1.4551915228366852E-11</v>
      </c>
      <c r="BQ707" s="52">
        <f t="shared" si="3297"/>
        <v>0</v>
      </c>
      <c r="BR707" s="52">
        <f t="shared" si="3297"/>
        <v>0</v>
      </c>
      <c r="BS707" s="52">
        <f t="shared" si="3297"/>
        <v>0</v>
      </c>
      <c r="BT707" s="52">
        <f t="shared" si="3297"/>
        <v>0</v>
      </c>
      <c r="BU707" s="52">
        <f t="shared" si="3297"/>
        <v>1.4551915228366852E-11</v>
      </c>
      <c r="BV707" s="52">
        <f t="shared" si="3297"/>
        <v>0</v>
      </c>
      <c r="BW707" s="52">
        <f t="shared" si="3297"/>
        <v>1.4551915228366852E-11</v>
      </c>
      <c r="BX707" s="1"/>
      <c r="BY707" s="1"/>
      <c r="BZ707" s="1"/>
      <c r="CA707" s="1"/>
      <c r="CB707" s="1"/>
      <c r="CC707" s="1"/>
      <c r="CD707" s="1"/>
      <c r="CE707" s="1"/>
      <c r="CF707" s="1"/>
      <c r="CG707" s="1"/>
    </row>
    <row r="708" spans="1:85" ht="15.75" customHeight="1">
      <c r="A708" s="418"/>
      <c r="B708" s="419"/>
      <c r="C708" s="86" t="s">
        <v>118</v>
      </c>
      <c r="D708" s="87" t="s">
        <v>119</v>
      </c>
      <c r="E708" s="127">
        <v>0</v>
      </c>
      <c r="F708" s="71"/>
      <c r="G708" s="71">
        <f t="shared" ref="G708:G715" si="3298">E708-F708</f>
        <v>0</v>
      </c>
      <c r="H708" s="70"/>
      <c r="I708" s="72">
        <f t="shared" ref="I708:I714" si="3299">IF(G708&gt;0,K708/G708,0)</f>
        <v>0</v>
      </c>
      <c r="J708" s="72">
        <f t="shared" ref="J708:J714" si="3300">IF(G708&gt;0,O708/G708,0)</f>
        <v>0</v>
      </c>
      <c r="K708" s="94">
        <v>17715.53</v>
      </c>
      <c r="L708" s="409"/>
      <c r="M708" s="75"/>
      <c r="N708" s="76"/>
      <c r="O708" s="77">
        <f t="shared" ref="O708:Q708" si="3301">AA708+AD708+AG708+AJ708+AM708+AP708+AS708+AV708+AY708+BB708+BE708+BH708</f>
        <v>17715.53</v>
      </c>
      <c r="P708" s="77">
        <f t="shared" si="3301"/>
        <v>0</v>
      </c>
      <c r="Q708" s="77">
        <f t="shared" si="3301"/>
        <v>0</v>
      </c>
      <c r="R708" s="77">
        <f t="shared" ref="R708:T708" si="3302">IF(BK708=0,SUM(AA708+AD708+AG708+AJ708+AM708+AP708+AS708+AV708+AY708+BB708+BE708+BH708),BK708)</f>
        <v>17715.53</v>
      </c>
      <c r="S708" s="77">
        <f t="shared" si="3302"/>
        <v>0</v>
      </c>
      <c r="T708" s="77">
        <f t="shared" si="3302"/>
        <v>0</v>
      </c>
      <c r="U708" s="79">
        <f t="shared" ref="U708:U714" si="3303">K708-O708</f>
        <v>0</v>
      </c>
      <c r="V708" s="79">
        <f t="shared" ref="V708:V714" si="3304">L708-M708-S708</f>
        <v>0</v>
      </c>
      <c r="W708" s="79">
        <f t="shared" ref="W708:W714" si="3305">N708-Q708</f>
        <v>0</v>
      </c>
      <c r="X708" s="80">
        <f t="shared" ref="X708:Y708" si="3306">IF(O708&gt;0,O708/K708,0)</f>
        <v>1</v>
      </c>
      <c r="Y708" s="80">
        <f t="shared" si="3306"/>
        <v>0</v>
      </c>
      <c r="Z708" s="80">
        <f t="shared" si="3296"/>
        <v>0</v>
      </c>
      <c r="AA708" s="81"/>
      <c r="AB708" s="82"/>
      <c r="AC708" s="81"/>
      <c r="AD708" s="81"/>
      <c r="AE708" s="83"/>
      <c r="AF708" s="83"/>
      <c r="AG708" s="128"/>
      <c r="AH708" s="83"/>
      <c r="AI708" s="81"/>
      <c r="AJ708" s="81"/>
      <c r="AK708" s="81"/>
      <c r="AL708" s="81"/>
      <c r="AM708" s="81"/>
      <c r="AN708" s="81"/>
      <c r="AO708" s="81"/>
      <c r="AP708" s="81"/>
      <c r="AQ708" s="81"/>
      <c r="AR708" s="81"/>
      <c r="AS708" s="81"/>
      <c r="AT708" s="81"/>
      <c r="AU708" s="81"/>
      <c r="AV708" s="81"/>
      <c r="AW708" s="81"/>
      <c r="AX708" s="81"/>
      <c r="AY708" s="81"/>
      <c r="AZ708" s="81"/>
      <c r="BA708" s="81"/>
      <c r="BB708" s="81"/>
      <c r="BC708" s="81"/>
      <c r="BD708" s="81"/>
      <c r="BE708" s="82">
        <v>17715.53</v>
      </c>
      <c r="BF708" s="81"/>
      <c r="BG708" s="81"/>
      <c r="BH708" s="81"/>
      <c r="BI708" s="81"/>
      <c r="BJ708" s="81"/>
      <c r="BK708" s="82">
        <v>17715.53</v>
      </c>
      <c r="BL708" s="82">
        <v>0</v>
      </c>
      <c r="BM708" s="82">
        <v>0</v>
      </c>
      <c r="BN708" s="81">
        <f t="shared" ref="BN708:BN714" si="3307">IF(O708-BK708&gt;0,O708-BK708,0)</f>
        <v>0</v>
      </c>
      <c r="BO708" s="75">
        <f t="shared" ref="BO708:BO714" si="3308">IF(Q708-BM708&gt;0,Q708-BM708,0)</f>
        <v>0</v>
      </c>
      <c r="BP708" s="81">
        <f t="shared" ref="BP708:BP714" si="3309">IF(BN708+BO708&gt;0,BN708+BO708,0)</f>
        <v>0</v>
      </c>
      <c r="BQ708" s="81">
        <f t="shared" ref="BQ708:BQ714" si="3310">IF(U708=0,0,U708)</f>
        <v>0</v>
      </c>
      <c r="BR708" s="81">
        <f t="shared" ref="BR708:BR714" si="3311">IF(W708=0,0,W708)</f>
        <v>0</v>
      </c>
      <c r="BS708" s="81">
        <f t="shared" ref="BS708:BS714" si="3312">IF(BQ708+BR708&gt;0,BQ708+BR708,0)</f>
        <v>0</v>
      </c>
      <c r="BT708" s="81">
        <f t="shared" ref="BT708:BT714" si="3313">IF(V708&gt;0,V708,0)</f>
        <v>0</v>
      </c>
      <c r="BU708" s="81">
        <f t="shared" ref="BU708:BU714" si="3314">IF(BP708=0,0,BP708)</f>
        <v>0</v>
      </c>
      <c r="BV708" s="81">
        <f t="shared" ref="BV708:BV714" si="3315">IF(BS708=0,0,BS708)</f>
        <v>0</v>
      </c>
      <c r="BW708" s="81">
        <f t="shared" ref="BW708:BW714" si="3316">IF(BP708+BT708+BV708&gt;0,BP708+BT708+BV708,0)</f>
        <v>0</v>
      </c>
      <c r="BX708" s="1"/>
      <c r="BY708" s="1"/>
      <c r="BZ708" s="1"/>
      <c r="CA708" s="1"/>
      <c r="CB708" s="1"/>
      <c r="CC708" s="1"/>
      <c r="CD708" s="1"/>
      <c r="CE708" s="1"/>
      <c r="CF708" s="1"/>
      <c r="CG708" s="1"/>
    </row>
    <row r="709" spans="1:85" ht="15.75" customHeight="1">
      <c r="A709" s="418"/>
      <c r="B709" s="419"/>
      <c r="C709" s="68" t="s">
        <v>574</v>
      </c>
      <c r="D709" s="69" t="s">
        <v>447</v>
      </c>
      <c r="E709" s="127">
        <v>0</v>
      </c>
      <c r="F709" s="71"/>
      <c r="G709" s="71">
        <f t="shared" si="3298"/>
        <v>0</v>
      </c>
      <c r="H709" s="70"/>
      <c r="I709" s="72">
        <f t="shared" si="3299"/>
        <v>0</v>
      </c>
      <c r="J709" s="72">
        <f t="shared" si="3300"/>
        <v>0</v>
      </c>
      <c r="K709" s="94">
        <v>42956</v>
      </c>
      <c r="L709" s="409"/>
      <c r="M709" s="75"/>
      <c r="N709" s="76"/>
      <c r="O709" s="77">
        <f t="shared" ref="O709:Q709" si="3317">AA709+AD709+AG709+AJ709+AM709+AP709+AS709+AV709+AY709+BB709+BE709+BH709</f>
        <v>42956</v>
      </c>
      <c r="P709" s="77">
        <f t="shared" si="3317"/>
        <v>0</v>
      </c>
      <c r="Q709" s="77">
        <f t="shared" si="3317"/>
        <v>0</v>
      </c>
      <c r="R709" s="77">
        <f t="shared" ref="R709:T709" si="3318">IF(BK709=0,SUM(AA709+AD709+AG709+AJ709+AM709+AP709+AS709+AV709+AY709+BB709+BE709+BH709),BK709)</f>
        <v>42956</v>
      </c>
      <c r="S709" s="77">
        <f t="shared" si="3318"/>
        <v>0</v>
      </c>
      <c r="T709" s="77">
        <f t="shared" si="3318"/>
        <v>0</v>
      </c>
      <c r="U709" s="79">
        <f t="shared" si="3303"/>
        <v>0</v>
      </c>
      <c r="V709" s="79">
        <f t="shared" si="3304"/>
        <v>0</v>
      </c>
      <c r="W709" s="79">
        <f t="shared" si="3305"/>
        <v>0</v>
      </c>
      <c r="X709" s="80">
        <f t="shared" ref="X709:Y709" si="3319">IF(O709&gt;0,O709/K709,0)</f>
        <v>1</v>
      </c>
      <c r="Y709" s="80">
        <f t="shared" si="3319"/>
        <v>0</v>
      </c>
      <c r="Z709" s="80">
        <f t="shared" si="3296"/>
        <v>0</v>
      </c>
      <c r="AA709" s="81"/>
      <c r="AB709" s="82"/>
      <c r="AC709" s="81"/>
      <c r="AD709" s="81"/>
      <c r="AE709" s="83"/>
      <c r="AF709" s="83"/>
      <c r="AG709" s="128">
        <v>42956</v>
      </c>
      <c r="AH709" s="83"/>
      <c r="AI709" s="81"/>
      <c r="AJ709" s="81"/>
      <c r="AK709" s="81"/>
      <c r="AL709" s="81"/>
      <c r="AM709" s="81"/>
      <c r="AN709" s="81"/>
      <c r="AO709" s="81"/>
      <c r="AP709" s="81"/>
      <c r="AQ709" s="81"/>
      <c r="AR709" s="81"/>
      <c r="AS709" s="81"/>
      <c r="AT709" s="81"/>
      <c r="AU709" s="81"/>
      <c r="AV709" s="81"/>
      <c r="AW709" s="81"/>
      <c r="AX709" s="81"/>
      <c r="AY709" s="81"/>
      <c r="AZ709" s="81"/>
      <c r="BA709" s="81"/>
      <c r="BB709" s="81"/>
      <c r="BC709" s="81"/>
      <c r="BD709" s="81"/>
      <c r="BE709" s="81"/>
      <c r="BF709" s="81"/>
      <c r="BG709" s="81"/>
      <c r="BH709" s="81"/>
      <c r="BI709" s="81"/>
      <c r="BJ709" s="81"/>
      <c r="BK709" s="82">
        <v>42956</v>
      </c>
      <c r="BL709" s="82">
        <v>0</v>
      </c>
      <c r="BM709" s="82">
        <v>0</v>
      </c>
      <c r="BN709" s="81">
        <f t="shared" si="3307"/>
        <v>0</v>
      </c>
      <c r="BO709" s="75">
        <f t="shared" si="3308"/>
        <v>0</v>
      </c>
      <c r="BP709" s="81">
        <f t="shared" si="3309"/>
        <v>0</v>
      </c>
      <c r="BQ709" s="81">
        <f t="shared" si="3310"/>
        <v>0</v>
      </c>
      <c r="BR709" s="81">
        <f t="shared" si="3311"/>
        <v>0</v>
      </c>
      <c r="BS709" s="81">
        <f t="shared" si="3312"/>
        <v>0</v>
      </c>
      <c r="BT709" s="81">
        <f t="shared" si="3313"/>
        <v>0</v>
      </c>
      <c r="BU709" s="81">
        <f t="shared" si="3314"/>
        <v>0</v>
      </c>
      <c r="BV709" s="81">
        <f t="shared" si="3315"/>
        <v>0</v>
      </c>
      <c r="BW709" s="81">
        <f t="shared" si="3316"/>
        <v>0</v>
      </c>
      <c r="BX709" s="1"/>
      <c r="BY709" s="1"/>
      <c r="BZ709" s="1"/>
      <c r="CA709" s="1"/>
      <c r="CB709" s="1"/>
      <c r="CC709" s="1"/>
      <c r="CD709" s="1"/>
      <c r="CE709" s="1"/>
      <c r="CF709" s="1"/>
      <c r="CG709" s="1"/>
    </row>
    <row r="710" spans="1:85" ht="15.75" customHeight="1">
      <c r="A710" s="418"/>
      <c r="B710" s="419"/>
      <c r="C710" s="129" t="s">
        <v>1082</v>
      </c>
      <c r="D710" s="420" t="s">
        <v>1083</v>
      </c>
      <c r="E710" s="127">
        <v>0</v>
      </c>
      <c r="F710" s="71"/>
      <c r="G710" s="71">
        <f t="shared" si="3298"/>
        <v>0</v>
      </c>
      <c r="H710" s="70"/>
      <c r="I710" s="72">
        <f t="shared" si="3299"/>
        <v>0</v>
      </c>
      <c r="J710" s="72">
        <f t="shared" si="3300"/>
        <v>0</v>
      </c>
      <c r="K710" s="94">
        <v>31686</v>
      </c>
      <c r="L710" s="409"/>
      <c r="M710" s="75"/>
      <c r="N710" s="76"/>
      <c r="O710" s="77">
        <f t="shared" ref="O710:Q710" si="3320">AA710+AD710+AG710+AJ710+AM710+AP710+AS710+AV710+AY710+BB710+BE710+BH710</f>
        <v>31686</v>
      </c>
      <c r="P710" s="77">
        <f t="shared" si="3320"/>
        <v>0</v>
      </c>
      <c r="Q710" s="77">
        <f t="shared" si="3320"/>
        <v>0</v>
      </c>
      <c r="R710" s="77">
        <f t="shared" ref="R710:T710" si="3321">IF(BK710=0,SUM(AA710+AD710+AG710+AJ710+AM710+AP710+AS710+AV710+AY710+BB710+BE710+BH710),BK710)</f>
        <v>31686</v>
      </c>
      <c r="S710" s="77">
        <f t="shared" si="3321"/>
        <v>0</v>
      </c>
      <c r="T710" s="77">
        <f t="shared" si="3321"/>
        <v>0</v>
      </c>
      <c r="U710" s="79">
        <f t="shared" si="3303"/>
        <v>0</v>
      </c>
      <c r="V710" s="79">
        <f t="shared" si="3304"/>
        <v>0</v>
      </c>
      <c r="W710" s="79">
        <f t="shared" si="3305"/>
        <v>0</v>
      </c>
      <c r="X710" s="80">
        <f t="shared" ref="X710:Y710" si="3322">IF(O710&gt;0,O710/K710,0)</f>
        <v>1</v>
      </c>
      <c r="Y710" s="80">
        <f t="shared" si="3322"/>
        <v>0</v>
      </c>
      <c r="Z710" s="80">
        <f t="shared" si="3296"/>
        <v>0</v>
      </c>
      <c r="AA710" s="81"/>
      <c r="AB710" s="82"/>
      <c r="AC710" s="81"/>
      <c r="AD710" s="81"/>
      <c r="AE710" s="83"/>
      <c r="AF710" s="83"/>
      <c r="AG710" s="83"/>
      <c r="AH710" s="83"/>
      <c r="AI710" s="81"/>
      <c r="AJ710" s="82">
        <v>31686</v>
      </c>
      <c r="AK710" s="81"/>
      <c r="AL710" s="81"/>
      <c r="AM710" s="81"/>
      <c r="AN710" s="81"/>
      <c r="AO710" s="81"/>
      <c r="AP710" s="81"/>
      <c r="AQ710" s="81"/>
      <c r="AR710" s="81"/>
      <c r="AS710" s="81"/>
      <c r="AT710" s="81"/>
      <c r="AU710" s="81"/>
      <c r="AV710" s="81"/>
      <c r="AW710" s="81"/>
      <c r="AX710" s="81"/>
      <c r="AY710" s="81"/>
      <c r="AZ710" s="81"/>
      <c r="BA710" s="81"/>
      <c r="BB710" s="81"/>
      <c r="BC710" s="81"/>
      <c r="BD710" s="81"/>
      <c r="BE710" s="81"/>
      <c r="BF710" s="81"/>
      <c r="BG710" s="81"/>
      <c r="BH710" s="81"/>
      <c r="BI710" s="81"/>
      <c r="BJ710" s="81"/>
      <c r="BK710" s="82">
        <v>31686</v>
      </c>
      <c r="BL710" s="82">
        <v>0</v>
      </c>
      <c r="BM710" s="82">
        <v>0</v>
      </c>
      <c r="BN710" s="81">
        <f t="shared" si="3307"/>
        <v>0</v>
      </c>
      <c r="BO710" s="75">
        <f t="shared" si="3308"/>
        <v>0</v>
      </c>
      <c r="BP710" s="81">
        <f t="shared" si="3309"/>
        <v>0</v>
      </c>
      <c r="BQ710" s="81">
        <f t="shared" si="3310"/>
        <v>0</v>
      </c>
      <c r="BR710" s="81">
        <f t="shared" si="3311"/>
        <v>0</v>
      </c>
      <c r="BS710" s="81">
        <f t="shared" si="3312"/>
        <v>0</v>
      </c>
      <c r="BT710" s="81">
        <f t="shared" si="3313"/>
        <v>0</v>
      </c>
      <c r="BU710" s="81">
        <f t="shared" si="3314"/>
        <v>0</v>
      </c>
      <c r="BV710" s="81">
        <f t="shared" si="3315"/>
        <v>0</v>
      </c>
      <c r="BW710" s="81">
        <f t="shared" si="3316"/>
        <v>0</v>
      </c>
      <c r="BX710" s="1"/>
      <c r="BY710" s="1"/>
      <c r="BZ710" s="1"/>
      <c r="CA710" s="1"/>
      <c r="CB710" s="1"/>
      <c r="CC710" s="1"/>
      <c r="CD710" s="1"/>
      <c r="CE710" s="1"/>
      <c r="CF710" s="1"/>
      <c r="CG710" s="1"/>
    </row>
    <row r="711" spans="1:85" ht="15.75" customHeight="1">
      <c r="A711" s="418"/>
      <c r="B711" s="419"/>
      <c r="C711" s="129" t="s">
        <v>1084</v>
      </c>
      <c r="D711" s="292" t="s">
        <v>638</v>
      </c>
      <c r="E711" s="127">
        <v>0</v>
      </c>
      <c r="F711" s="71"/>
      <c r="G711" s="71">
        <f t="shared" si="3298"/>
        <v>0</v>
      </c>
      <c r="H711" s="70"/>
      <c r="I711" s="72">
        <f t="shared" si="3299"/>
        <v>0</v>
      </c>
      <c r="J711" s="72">
        <f t="shared" si="3300"/>
        <v>0</v>
      </c>
      <c r="K711" s="94">
        <v>295169.15999999997</v>
      </c>
      <c r="L711" s="409"/>
      <c r="M711" s="75"/>
      <c r="N711" s="76"/>
      <c r="O711" s="77">
        <f t="shared" ref="O711:Q711" si="3323">AA711+AD711+AG711+AJ711+AM711+AP711+AS711+AV711+AY711+BB711+BE711+BH711</f>
        <v>295169.15999999992</v>
      </c>
      <c r="P711" s="77">
        <f t="shared" si="3323"/>
        <v>0</v>
      </c>
      <c r="Q711" s="77">
        <f t="shared" si="3323"/>
        <v>0</v>
      </c>
      <c r="R711" s="77">
        <f t="shared" ref="R711:T711" si="3324">IF(BK711=0,SUM(AA711+AD711+AG711+AJ711+AM711+AP711+AS711+AV711+AY711+BB711+BE711+BH711),BK711)</f>
        <v>295169.15999999997</v>
      </c>
      <c r="S711" s="77">
        <f t="shared" si="3324"/>
        <v>0</v>
      </c>
      <c r="T711" s="77">
        <f t="shared" si="3324"/>
        <v>0</v>
      </c>
      <c r="U711" s="79">
        <f t="shared" si="3303"/>
        <v>0</v>
      </c>
      <c r="V711" s="79">
        <f t="shared" si="3304"/>
        <v>0</v>
      </c>
      <c r="W711" s="79">
        <f t="shared" si="3305"/>
        <v>0</v>
      </c>
      <c r="X711" s="80">
        <f t="shared" ref="X711:Y711" si="3325">IF(O711&gt;0,O711/K711,0)</f>
        <v>0.99999999999999978</v>
      </c>
      <c r="Y711" s="80">
        <f t="shared" si="3325"/>
        <v>0</v>
      </c>
      <c r="Z711" s="80">
        <f t="shared" si="3296"/>
        <v>0</v>
      </c>
      <c r="AA711" s="82">
        <v>22709.98</v>
      </c>
      <c r="AB711" s="82"/>
      <c r="AC711" s="81"/>
      <c r="AD711" s="82">
        <v>23021.82</v>
      </c>
      <c r="AE711" s="83"/>
      <c r="AF711" s="83"/>
      <c r="AG711" s="128">
        <v>24276.59</v>
      </c>
      <c r="AH711" s="83"/>
      <c r="AI711" s="81"/>
      <c r="AJ711" s="82">
        <v>27111.34</v>
      </c>
      <c r="AK711" s="81"/>
      <c r="AL711" s="81"/>
      <c r="AM711" s="82">
        <v>17645.82</v>
      </c>
      <c r="AN711" s="81"/>
      <c r="AO711" s="81"/>
      <c r="AP711" s="82">
        <v>29456.43</v>
      </c>
      <c r="AQ711" s="81"/>
      <c r="AR711" s="81"/>
      <c r="AS711" s="82">
        <v>10277.44</v>
      </c>
      <c r="AT711" s="81"/>
      <c r="AU711" s="81"/>
      <c r="AV711" s="82">
        <v>29445.93</v>
      </c>
      <c r="AW711" s="81"/>
      <c r="AX711" s="81"/>
      <c r="AY711" s="82">
        <v>26361.59</v>
      </c>
      <c r="AZ711" s="81"/>
      <c r="BA711" s="81"/>
      <c r="BB711" s="82">
        <v>28512.58</v>
      </c>
      <c r="BC711" s="81"/>
      <c r="BD711" s="81"/>
      <c r="BE711" s="82">
        <v>33067.79</v>
      </c>
      <c r="BF711" s="81"/>
      <c r="BG711" s="81"/>
      <c r="BH711" s="82">
        <v>23281.85</v>
      </c>
      <c r="BI711" s="81"/>
      <c r="BJ711" s="81"/>
      <c r="BK711" s="82">
        <v>295169.15999999997</v>
      </c>
      <c r="BL711" s="82">
        <v>0</v>
      </c>
      <c r="BM711" s="82">
        <v>0</v>
      </c>
      <c r="BN711" s="81">
        <f t="shared" si="3307"/>
        <v>0</v>
      </c>
      <c r="BO711" s="75">
        <f t="shared" si="3308"/>
        <v>0</v>
      </c>
      <c r="BP711" s="81">
        <f t="shared" si="3309"/>
        <v>0</v>
      </c>
      <c r="BQ711" s="81">
        <f t="shared" si="3310"/>
        <v>0</v>
      </c>
      <c r="BR711" s="81">
        <f t="shared" si="3311"/>
        <v>0</v>
      </c>
      <c r="BS711" s="81">
        <f t="shared" si="3312"/>
        <v>0</v>
      </c>
      <c r="BT711" s="81">
        <f t="shared" si="3313"/>
        <v>0</v>
      </c>
      <c r="BU711" s="81">
        <f t="shared" si="3314"/>
        <v>0</v>
      </c>
      <c r="BV711" s="81">
        <f t="shared" si="3315"/>
        <v>0</v>
      </c>
      <c r="BW711" s="81">
        <f t="shared" si="3316"/>
        <v>0</v>
      </c>
      <c r="BX711" s="1"/>
      <c r="BY711" s="1"/>
      <c r="BZ711" s="1"/>
      <c r="CA711" s="1"/>
      <c r="CB711" s="1"/>
      <c r="CC711" s="1"/>
      <c r="CD711" s="1"/>
      <c r="CE711" s="1"/>
      <c r="CF711" s="1"/>
      <c r="CG711" s="1"/>
    </row>
    <row r="712" spans="1:85" ht="15.75" customHeight="1">
      <c r="A712" s="418"/>
      <c r="B712" s="419"/>
      <c r="C712" s="129" t="s">
        <v>1085</v>
      </c>
      <c r="D712" s="150" t="s">
        <v>1086</v>
      </c>
      <c r="E712" s="127">
        <v>0</v>
      </c>
      <c r="F712" s="71"/>
      <c r="G712" s="71">
        <f t="shared" si="3298"/>
        <v>0</v>
      </c>
      <c r="H712" s="70"/>
      <c r="I712" s="72">
        <f t="shared" si="3299"/>
        <v>0</v>
      </c>
      <c r="J712" s="72">
        <f t="shared" si="3300"/>
        <v>0</v>
      </c>
      <c r="K712" s="76">
        <f>36915.81+57204.67</f>
        <v>94120.48</v>
      </c>
      <c r="L712" s="409"/>
      <c r="M712" s="75"/>
      <c r="N712" s="76"/>
      <c r="O712" s="77">
        <f t="shared" ref="O712:Q712" si="3326">AA712+AD712+AG712+AJ712+AM712+AP712+AS712+AV712+AY712+BB712+BE712+BH712</f>
        <v>94120.48000000001</v>
      </c>
      <c r="P712" s="77">
        <f t="shared" si="3326"/>
        <v>0</v>
      </c>
      <c r="Q712" s="77">
        <f t="shared" si="3326"/>
        <v>0</v>
      </c>
      <c r="R712" s="77">
        <f t="shared" ref="R712:T712" si="3327">IF(BK712=0,SUM(AA712+AD712+AG712+AJ712+AM712+AP712+AS712+AV712+AY712+BB712+BE712+BH712),BK712)</f>
        <v>94120.48</v>
      </c>
      <c r="S712" s="77">
        <f t="shared" si="3327"/>
        <v>0</v>
      </c>
      <c r="T712" s="77">
        <f t="shared" si="3327"/>
        <v>0</v>
      </c>
      <c r="U712" s="79">
        <f t="shared" si="3303"/>
        <v>0</v>
      </c>
      <c r="V712" s="79">
        <f t="shared" si="3304"/>
        <v>0</v>
      </c>
      <c r="W712" s="79">
        <f t="shared" si="3305"/>
        <v>0</v>
      </c>
      <c r="X712" s="80">
        <f t="shared" ref="X712:Y712" si="3328">IF(O712&gt;0,O712/K712,0)</f>
        <v>1.0000000000000002</v>
      </c>
      <c r="Y712" s="80">
        <f t="shared" si="3328"/>
        <v>0</v>
      </c>
      <c r="Z712" s="80">
        <f t="shared" si="3296"/>
        <v>0</v>
      </c>
      <c r="AA712" s="82">
        <v>4709.59</v>
      </c>
      <c r="AB712" s="82"/>
      <c r="AC712" s="81"/>
      <c r="AD712" s="82">
        <v>4369.59</v>
      </c>
      <c r="AE712" s="83"/>
      <c r="AF712" s="83"/>
      <c r="AG712" s="128">
        <v>4289.59</v>
      </c>
      <c r="AH712" s="83"/>
      <c r="AI712" s="81"/>
      <c r="AJ712" s="82">
        <v>12493.52</v>
      </c>
      <c r="AK712" s="81"/>
      <c r="AL712" s="81"/>
      <c r="AM712" s="82">
        <v>11053.52</v>
      </c>
      <c r="AN712" s="81"/>
      <c r="AO712" s="81"/>
      <c r="AP712" s="82">
        <v>10455.540000000001</v>
      </c>
      <c r="AQ712" s="81"/>
      <c r="AR712" s="81"/>
      <c r="AS712" s="82">
        <v>10225.540000000001</v>
      </c>
      <c r="AT712" s="81"/>
      <c r="AU712" s="81"/>
      <c r="AV712" s="82">
        <v>7891.91</v>
      </c>
      <c r="AW712" s="81"/>
      <c r="AX712" s="81"/>
      <c r="AY712" s="82">
        <v>7521.91</v>
      </c>
      <c r="AZ712" s="81"/>
      <c r="BA712" s="81"/>
      <c r="BB712" s="82">
        <v>7601.91</v>
      </c>
      <c r="BC712" s="81"/>
      <c r="BD712" s="81"/>
      <c r="BE712" s="82">
        <v>6753.93</v>
      </c>
      <c r="BF712" s="81"/>
      <c r="BG712" s="81"/>
      <c r="BH712" s="82">
        <v>6753.93</v>
      </c>
      <c r="BI712" s="81"/>
      <c r="BJ712" s="81"/>
      <c r="BK712" s="82">
        <v>94120.48</v>
      </c>
      <c r="BL712" s="82">
        <v>0</v>
      </c>
      <c r="BM712" s="82">
        <v>0</v>
      </c>
      <c r="BN712" s="81">
        <f t="shared" si="3307"/>
        <v>1.4551915228366852E-11</v>
      </c>
      <c r="BO712" s="75">
        <f t="shared" si="3308"/>
        <v>0</v>
      </c>
      <c r="BP712" s="81">
        <f t="shared" si="3309"/>
        <v>1.4551915228366852E-11</v>
      </c>
      <c r="BQ712" s="81">
        <f t="shared" si="3310"/>
        <v>0</v>
      </c>
      <c r="BR712" s="81">
        <f t="shared" si="3311"/>
        <v>0</v>
      </c>
      <c r="BS712" s="81">
        <f t="shared" si="3312"/>
        <v>0</v>
      </c>
      <c r="BT712" s="81">
        <f t="shared" si="3313"/>
        <v>0</v>
      </c>
      <c r="BU712" s="81">
        <f t="shared" si="3314"/>
        <v>1.4551915228366852E-11</v>
      </c>
      <c r="BV712" s="81">
        <f t="shared" si="3315"/>
        <v>0</v>
      </c>
      <c r="BW712" s="81">
        <f t="shared" si="3316"/>
        <v>1.4551915228366852E-11</v>
      </c>
      <c r="BX712" s="1"/>
      <c r="BY712" s="1"/>
      <c r="BZ712" s="1"/>
      <c r="CA712" s="1"/>
      <c r="CB712" s="1"/>
      <c r="CC712" s="1"/>
      <c r="CD712" s="1"/>
      <c r="CE712" s="1"/>
      <c r="CF712" s="1"/>
      <c r="CG712" s="1"/>
    </row>
    <row r="713" spans="1:85" ht="15.75" customHeight="1">
      <c r="A713" s="418"/>
      <c r="B713" s="419"/>
      <c r="C713" s="86" t="s">
        <v>292</v>
      </c>
      <c r="D713" s="149" t="s">
        <v>293</v>
      </c>
      <c r="E713" s="127">
        <v>0</v>
      </c>
      <c r="F713" s="71"/>
      <c r="G713" s="71">
        <f t="shared" si="3298"/>
        <v>0</v>
      </c>
      <c r="H713" s="70"/>
      <c r="I713" s="72">
        <f t="shared" si="3299"/>
        <v>0</v>
      </c>
      <c r="J713" s="72">
        <f t="shared" si="3300"/>
        <v>0</v>
      </c>
      <c r="K713" s="94">
        <v>468988.09</v>
      </c>
      <c r="L713" s="409"/>
      <c r="M713" s="75"/>
      <c r="N713" s="76"/>
      <c r="O713" s="77">
        <f t="shared" ref="O713:Q713" si="3329">AA713+AD713+AG713+AJ713+AM713+AP713+AS713+AV713+AY713+BB713+BE713+BH713</f>
        <v>468988.08999999997</v>
      </c>
      <c r="P713" s="77">
        <f t="shared" si="3329"/>
        <v>0</v>
      </c>
      <c r="Q713" s="77">
        <f t="shared" si="3329"/>
        <v>0</v>
      </c>
      <c r="R713" s="77">
        <f t="shared" ref="R713:T713" si="3330">IF(BK713=0,SUM(AA713+AD713+AG713+AJ713+AM713+AP713+AS713+AV713+AY713+BB713+BE713+BH713),BK713)</f>
        <v>468988.09</v>
      </c>
      <c r="S713" s="77">
        <f t="shared" si="3330"/>
        <v>0</v>
      </c>
      <c r="T713" s="77">
        <f t="shared" si="3330"/>
        <v>0</v>
      </c>
      <c r="U713" s="79">
        <f t="shared" si="3303"/>
        <v>0</v>
      </c>
      <c r="V713" s="79">
        <f t="shared" si="3304"/>
        <v>0</v>
      </c>
      <c r="W713" s="79">
        <f t="shared" si="3305"/>
        <v>0</v>
      </c>
      <c r="X713" s="80">
        <f t="shared" ref="X713:Y713" si="3331">IF(O713&gt;0,O713/K713,0)</f>
        <v>0.99999999999999989</v>
      </c>
      <c r="Y713" s="80">
        <f t="shared" si="3331"/>
        <v>0</v>
      </c>
      <c r="Z713" s="80">
        <f t="shared" si="3296"/>
        <v>0</v>
      </c>
      <c r="AA713" s="82">
        <v>86412.86</v>
      </c>
      <c r="AB713" s="82"/>
      <c r="AC713" s="81"/>
      <c r="AD713" s="82">
        <v>51741.35</v>
      </c>
      <c r="AE713" s="83"/>
      <c r="AF713" s="83"/>
      <c r="AG713" s="128">
        <v>61024.23</v>
      </c>
      <c r="AH713" s="83"/>
      <c r="AI713" s="81"/>
      <c r="AJ713" s="82">
        <v>28308</v>
      </c>
      <c r="AK713" s="81"/>
      <c r="AL713" s="81"/>
      <c r="AM713" s="82">
        <v>35836.5</v>
      </c>
      <c r="AN713" s="81"/>
      <c r="AO713" s="81"/>
      <c r="AP713" s="82">
        <v>50885.61</v>
      </c>
      <c r="AQ713" s="81"/>
      <c r="AR713" s="81"/>
      <c r="AS713" s="82">
        <v>24100</v>
      </c>
      <c r="AT713" s="81"/>
      <c r="AU713" s="81"/>
      <c r="AV713" s="82">
        <v>14951</v>
      </c>
      <c r="AW713" s="81"/>
      <c r="AX713" s="81"/>
      <c r="AY713" s="82">
        <v>39607</v>
      </c>
      <c r="AZ713" s="81"/>
      <c r="BA713" s="81"/>
      <c r="BB713" s="82">
        <v>42484</v>
      </c>
      <c r="BC713" s="81"/>
      <c r="BD713" s="81"/>
      <c r="BE713" s="82">
        <v>33637.54</v>
      </c>
      <c r="BF713" s="81"/>
      <c r="BG713" s="81"/>
      <c r="BH713" s="82">
        <v>0</v>
      </c>
      <c r="BI713" s="81"/>
      <c r="BJ713" s="81"/>
      <c r="BK713" s="82">
        <v>468988.09</v>
      </c>
      <c r="BL713" s="82">
        <v>0</v>
      </c>
      <c r="BM713" s="82">
        <v>0</v>
      </c>
      <c r="BN713" s="81">
        <f t="shared" si="3307"/>
        <v>0</v>
      </c>
      <c r="BO713" s="75">
        <f t="shared" si="3308"/>
        <v>0</v>
      </c>
      <c r="BP713" s="81">
        <f t="shared" si="3309"/>
        <v>0</v>
      </c>
      <c r="BQ713" s="81">
        <f t="shared" si="3310"/>
        <v>0</v>
      </c>
      <c r="BR713" s="81">
        <f t="shared" si="3311"/>
        <v>0</v>
      </c>
      <c r="BS713" s="81">
        <f t="shared" si="3312"/>
        <v>0</v>
      </c>
      <c r="BT713" s="81">
        <f t="shared" si="3313"/>
        <v>0</v>
      </c>
      <c r="BU713" s="81">
        <f t="shared" si="3314"/>
        <v>0</v>
      </c>
      <c r="BV713" s="81">
        <f t="shared" si="3315"/>
        <v>0</v>
      </c>
      <c r="BW713" s="81">
        <f t="shared" si="3316"/>
        <v>0</v>
      </c>
      <c r="BX713" s="1"/>
      <c r="BY713" s="1"/>
      <c r="BZ713" s="1"/>
      <c r="CA713" s="1"/>
      <c r="CB713" s="1"/>
      <c r="CC713" s="1"/>
      <c r="CD713" s="1"/>
      <c r="CE713" s="1"/>
      <c r="CF713" s="1"/>
      <c r="CG713" s="1"/>
    </row>
    <row r="714" spans="1:85" ht="15.75" customHeight="1">
      <c r="A714" s="418"/>
      <c r="B714" s="419"/>
      <c r="C714" s="162" t="s">
        <v>1087</v>
      </c>
      <c r="D714" s="421" t="s">
        <v>1088</v>
      </c>
      <c r="E714" s="127">
        <v>0</v>
      </c>
      <c r="F714" s="71"/>
      <c r="G714" s="71">
        <f t="shared" si="3298"/>
        <v>0</v>
      </c>
      <c r="H714" s="70"/>
      <c r="I714" s="72">
        <f t="shared" si="3299"/>
        <v>0</v>
      </c>
      <c r="J714" s="72">
        <f t="shared" si="3300"/>
        <v>0</v>
      </c>
      <c r="K714" s="94">
        <v>46289</v>
      </c>
      <c r="L714" s="409"/>
      <c r="M714" s="75"/>
      <c r="N714" s="76"/>
      <c r="O714" s="77">
        <f t="shared" ref="O714:Q714" si="3332">AA714+AD714+AG714+AJ714+AM714+AP714+AS714+AV714+AY714+BB714+BE714+BH714</f>
        <v>46289</v>
      </c>
      <c r="P714" s="77">
        <f t="shared" si="3332"/>
        <v>0</v>
      </c>
      <c r="Q714" s="77">
        <f t="shared" si="3332"/>
        <v>0</v>
      </c>
      <c r="R714" s="77">
        <f t="shared" ref="R714:T714" si="3333">IF(BK714=0,SUM(AA714+AD714+AG714+AJ714+AM714+AP714+AS714+AV714+AY714+BB714+BE714+BH714),BK714)</f>
        <v>46289</v>
      </c>
      <c r="S714" s="77">
        <f t="shared" si="3333"/>
        <v>0</v>
      </c>
      <c r="T714" s="77">
        <f t="shared" si="3333"/>
        <v>0</v>
      </c>
      <c r="U714" s="79">
        <f t="shared" si="3303"/>
        <v>0</v>
      </c>
      <c r="V714" s="79">
        <f t="shared" si="3304"/>
        <v>0</v>
      </c>
      <c r="W714" s="79">
        <f t="shared" si="3305"/>
        <v>0</v>
      </c>
      <c r="X714" s="80">
        <f t="shared" ref="X714:Y714" si="3334">IF(O714&gt;0,O714/K714,0)</f>
        <v>1</v>
      </c>
      <c r="Y714" s="80">
        <f t="shared" si="3334"/>
        <v>0</v>
      </c>
      <c r="Z714" s="80">
        <f t="shared" si="3296"/>
        <v>0</v>
      </c>
      <c r="AA714" s="81"/>
      <c r="AB714" s="82"/>
      <c r="AC714" s="81"/>
      <c r="AD714" s="81"/>
      <c r="AE714" s="83"/>
      <c r="AF714" s="83"/>
      <c r="AG714" s="83"/>
      <c r="AH714" s="83"/>
      <c r="AI714" s="81"/>
      <c r="AJ714" s="82">
        <v>46289</v>
      </c>
      <c r="AK714" s="81"/>
      <c r="AL714" s="81"/>
      <c r="AM714" s="81"/>
      <c r="AN714" s="81"/>
      <c r="AO714" s="81"/>
      <c r="AP714" s="81"/>
      <c r="AQ714" s="81"/>
      <c r="AR714" s="81"/>
      <c r="AS714" s="81"/>
      <c r="AT714" s="81"/>
      <c r="AU714" s="81"/>
      <c r="AV714" s="81"/>
      <c r="AW714" s="81"/>
      <c r="AX714" s="81"/>
      <c r="AY714" s="81"/>
      <c r="AZ714" s="81"/>
      <c r="BA714" s="81"/>
      <c r="BB714" s="81"/>
      <c r="BC714" s="81"/>
      <c r="BD714" s="81"/>
      <c r="BE714" s="81"/>
      <c r="BF714" s="81"/>
      <c r="BG714" s="81"/>
      <c r="BH714" s="81"/>
      <c r="BI714" s="81"/>
      <c r="BJ714" s="81"/>
      <c r="BK714" s="82">
        <v>46289</v>
      </c>
      <c r="BL714" s="82">
        <v>0</v>
      </c>
      <c r="BM714" s="82">
        <v>0</v>
      </c>
      <c r="BN714" s="81">
        <f t="shared" si="3307"/>
        <v>0</v>
      </c>
      <c r="BO714" s="75">
        <f t="shared" si="3308"/>
        <v>0</v>
      </c>
      <c r="BP714" s="81">
        <f t="shared" si="3309"/>
        <v>0</v>
      </c>
      <c r="BQ714" s="81">
        <f t="shared" si="3310"/>
        <v>0</v>
      </c>
      <c r="BR714" s="81">
        <f t="shared" si="3311"/>
        <v>0</v>
      </c>
      <c r="BS714" s="81">
        <f t="shared" si="3312"/>
        <v>0</v>
      </c>
      <c r="BT714" s="81">
        <f t="shared" si="3313"/>
        <v>0</v>
      </c>
      <c r="BU714" s="81">
        <f t="shared" si="3314"/>
        <v>0</v>
      </c>
      <c r="BV714" s="81">
        <f t="shared" si="3315"/>
        <v>0</v>
      </c>
      <c r="BW714" s="81">
        <f t="shared" si="3316"/>
        <v>0</v>
      </c>
      <c r="BX714" s="1"/>
      <c r="BY714" s="1"/>
      <c r="BZ714" s="1"/>
      <c r="CA714" s="1"/>
      <c r="CB714" s="1"/>
      <c r="CC714" s="1"/>
      <c r="CD714" s="1"/>
      <c r="CE714" s="1"/>
      <c r="CF714" s="1"/>
      <c r="CG714" s="1"/>
    </row>
    <row r="715" spans="1:85" ht="21">
      <c r="A715" s="47"/>
      <c r="B715" s="417" t="s">
        <v>1089</v>
      </c>
      <c r="C715" s="49"/>
      <c r="D715" s="50"/>
      <c r="E715" s="422">
        <v>0</v>
      </c>
      <c r="F715" s="423">
        <f>504546-70636.44-300000-5000-150000+21090.44</f>
        <v>0</v>
      </c>
      <c r="G715" s="52">
        <f t="shared" si="3298"/>
        <v>0</v>
      </c>
      <c r="H715" s="423">
        <v>0</v>
      </c>
      <c r="I715" s="53" t="e">
        <f>K715/G715</f>
        <v>#DIV/0!</v>
      </c>
      <c r="J715" s="53" t="e">
        <f>O715/G715</f>
        <v>#DIV/0!</v>
      </c>
      <c r="K715" s="423">
        <v>0</v>
      </c>
      <c r="L715" s="423">
        <v>0</v>
      </c>
      <c r="M715" s="423">
        <v>0</v>
      </c>
      <c r="N715" s="423">
        <v>0</v>
      </c>
      <c r="O715" s="423">
        <v>0</v>
      </c>
      <c r="P715" s="423">
        <v>0</v>
      </c>
      <c r="Q715" s="423">
        <v>0</v>
      </c>
      <c r="R715" s="423">
        <v>0</v>
      </c>
      <c r="S715" s="423">
        <v>0</v>
      </c>
      <c r="T715" s="423">
        <v>0</v>
      </c>
      <c r="U715" s="424">
        <v>0</v>
      </c>
      <c r="V715" s="424">
        <v>0</v>
      </c>
      <c r="W715" s="424">
        <v>0</v>
      </c>
      <c r="X715" s="53">
        <f t="shared" ref="X715:Y715" si="3335">IF(O715&gt;0,O715/K715,0)</f>
        <v>0</v>
      </c>
      <c r="Y715" s="53">
        <f t="shared" si="3335"/>
        <v>0</v>
      </c>
      <c r="Z715" s="53">
        <f t="shared" si="3296"/>
        <v>0</v>
      </c>
      <c r="AA715" s="423">
        <v>0</v>
      </c>
      <c r="AB715" s="423">
        <v>0</v>
      </c>
      <c r="AC715" s="423">
        <v>0</v>
      </c>
      <c r="AD715" s="423">
        <v>0</v>
      </c>
      <c r="AE715" s="423">
        <v>0</v>
      </c>
      <c r="AF715" s="423">
        <v>0</v>
      </c>
      <c r="AG715" s="423">
        <v>0</v>
      </c>
      <c r="AH715" s="423">
        <v>0</v>
      </c>
      <c r="AI715" s="423">
        <v>0</v>
      </c>
      <c r="AJ715" s="423">
        <v>0</v>
      </c>
      <c r="AK715" s="423">
        <v>0</v>
      </c>
      <c r="AL715" s="423">
        <v>0</v>
      </c>
      <c r="AM715" s="423">
        <v>0</v>
      </c>
      <c r="AN715" s="423">
        <v>0</v>
      </c>
      <c r="AO715" s="423">
        <v>0</v>
      </c>
      <c r="AP715" s="423">
        <v>0</v>
      </c>
      <c r="AQ715" s="423">
        <v>0</v>
      </c>
      <c r="AR715" s="423">
        <v>0</v>
      </c>
      <c r="AS715" s="423">
        <v>0</v>
      </c>
      <c r="AT715" s="423">
        <v>0</v>
      </c>
      <c r="AU715" s="423">
        <v>0</v>
      </c>
      <c r="AV715" s="423">
        <v>0</v>
      </c>
      <c r="AW715" s="423">
        <v>0</v>
      </c>
      <c r="AX715" s="423">
        <v>0</v>
      </c>
      <c r="AY715" s="423">
        <v>0</v>
      </c>
      <c r="AZ715" s="423">
        <v>0</v>
      </c>
      <c r="BA715" s="423">
        <v>0</v>
      </c>
      <c r="BB715" s="423">
        <v>0</v>
      </c>
      <c r="BC715" s="423">
        <v>0</v>
      </c>
      <c r="BD715" s="423">
        <v>0</v>
      </c>
      <c r="BE715" s="423">
        <v>0</v>
      </c>
      <c r="BF715" s="423">
        <v>0</v>
      </c>
      <c r="BG715" s="423">
        <v>0</v>
      </c>
      <c r="BH715" s="423">
        <v>0</v>
      </c>
      <c r="BI715" s="423">
        <v>0</v>
      </c>
      <c r="BJ715" s="423">
        <v>0</v>
      </c>
      <c r="BK715" s="423">
        <v>0</v>
      </c>
      <c r="BL715" s="423">
        <v>0</v>
      </c>
      <c r="BM715" s="423">
        <v>0</v>
      </c>
      <c r="BN715" s="423">
        <v>0</v>
      </c>
      <c r="BO715" s="423">
        <v>0</v>
      </c>
      <c r="BP715" s="423">
        <v>0</v>
      </c>
      <c r="BQ715" s="423">
        <v>0</v>
      </c>
      <c r="BR715" s="423">
        <v>0</v>
      </c>
      <c r="BS715" s="423">
        <v>0</v>
      </c>
      <c r="BT715" s="423">
        <v>0</v>
      </c>
      <c r="BU715" s="423">
        <v>0</v>
      </c>
      <c r="BV715" s="423">
        <v>0</v>
      </c>
      <c r="BW715" s="423">
        <v>0</v>
      </c>
      <c r="BX715" s="1"/>
      <c r="BY715" s="1"/>
      <c r="BZ715" s="1"/>
      <c r="CA715" s="1"/>
      <c r="CB715" s="1"/>
      <c r="CC715" s="1"/>
      <c r="CD715" s="1"/>
      <c r="CE715" s="1"/>
      <c r="CF715" s="1"/>
      <c r="CG715" s="1"/>
    </row>
    <row r="716" spans="1:85" ht="15.75" customHeight="1">
      <c r="A716" s="418"/>
      <c r="B716" s="419"/>
      <c r="C716" s="425"/>
      <c r="D716" s="426" t="s">
        <v>1090</v>
      </c>
      <c r="E716" s="427" t="s">
        <v>1091</v>
      </c>
      <c r="F716" s="428" t="s">
        <v>1092</v>
      </c>
      <c r="G716" s="429" t="s">
        <v>1093</v>
      </c>
      <c r="H716" s="430" t="s">
        <v>1094</v>
      </c>
      <c r="I716" s="595" t="s">
        <v>1095</v>
      </c>
      <c r="J716" s="585"/>
      <c r="K716" s="431" t="s">
        <v>85</v>
      </c>
      <c r="L716" s="432" t="s">
        <v>86</v>
      </c>
      <c r="M716" s="433" t="s">
        <v>1096</v>
      </c>
      <c r="N716" s="434" t="s">
        <v>1094</v>
      </c>
      <c r="O716" s="432" t="s">
        <v>85</v>
      </c>
      <c r="P716" s="432" t="s">
        <v>86</v>
      </c>
      <c r="Q716" s="432" t="s">
        <v>1094</v>
      </c>
      <c r="R716" s="432" t="s">
        <v>85</v>
      </c>
      <c r="S716" s="432" t="s">
        <v>86</v>
      </c>
      <c r="T716" s="432" t="s">
        <v>1094</v>
      </c>
      <c r="U716" s="431" t="s">
        <v>85</v>
      </c>
      <c r="V716" s="431" t="s">
        <v>86</v>
      </c>
      <c r="W716" s="431" t="s">
        <v>1094</v>
      </c>
      <c r="X716" s="435"/>
      <c r="Y716" s="435"/>
      <c r="Z716" s="435"/>
      <c r="AA716" s="596" t="s">
        <v>1097</v>
      </c>
      <c r="AB716" s="588"/>
      <c r="AC716" s="588"/>
      <c r="AD716" s="588"/>
      <c r="AE716" s="588"/>
      <c r="AF716" s="585"/>
      <c r="AG716" s="597" t="s">
        <v>1098</v>
      </c>
      <c r="AH716" s="588"/>
      <c r="AI716" s="588"/>
      <c r="AJ716" s="588"/>
      <c r="AK716" s="588"/>
      <c r="AL716" s="585"/>
      <c r="AM716" s="587" t="s">
        <v>1099</v>
      </c>
      <c r="AN716" s="588"/>
      <c r="AO716" s="588"/>
      <c r="AP716" s="588"/>
      <c r="AQ716" s="588"/>
      <c r="AR716" s="585"/>
      <c r="AS716" s="589" t="s">
        <v>1100</v>
      </c>
      <c r="AT716" s="588"/>
      <c r="AU716" s="588"/>
      <c r="AV716" s="588"/>
      <c r="AW716" s="588"/>
      <c r="AX716" s="585"/>
      <c r="AY716" s="590" t="s">
        <v>1101</v>
      </c>
      <c r="AZ716" s="588"/>
      <c r="BA716" s="588"/>
      <c r="BB716" s="588"/>
      <c r="BC716" s="588"/>
      <c r="BD716" s="585"/>
      <c r="BE716" s="339"/>
      <c r="BF716" s="339"/>
      <c r="BG716" s="339"/>
      <c r="BH716" s="339"/>
      <c r="BI716" s="339"/>
      <c r="BJ716" s="339"/>
      <c r="BK716" s="339"/>
      <c r="BL716" s="339"/>
      <c r="BM716" s="339"/>
      <c r="BN716" s="436"/>
      <c r="BO716" s="339"/>
      <c r="BP716" s="436"/>
      <c r="BQ716" s="339"/>
      <c r="BR716" s="339"/>
      <c r="BS716" s="436"/>
      <c r="BT716" s="436"/>
      <c r="BU716" s="339" t="str">
        <f t="shared" ref="BU716:BU717" si="3336">IF(BP716=0,"",BP716)</f>
        <v/>
      </c>
      <c r="BV716" s="339" t="str">
        <f t="shared" ref="BV716:BV729" si="3337">IF(BS716=0,"",BS716)</f>
        <v/>
      </c>
      <c r="BW716" s="436"/>
      <c r="BX716" s="1"/>
      <c r="BY716" s="1"/>
      <c r="BZ716" s="1"/>
      <c r="CA716" s="1"/>
      <c r="CB716" s="1"/>
      <c r="CC716" s="1"/>
      <c r="CD716" s="1"/>
      <c r="CE716" s="1"/>
      <c r="CF716" s="1"/>
      <c r="CG716" s="1"/>
    </row>
    <row r="717" spans="1:85" ht="15.75" customHeight="1">
      <c r="A717" s="437"/>
      <c r="B717" s="438"/>
      <c r="C717" s="439"/>
      <c r="D717" s="440" t="s">
        <v>1102</v>
      </c>
      <c r="E717" s="78">
        <f t="shared" ref="E717:H717" si="3338">E4+E9+E166+E280+E512</f>
        <v>4628865.2</v>
      </c>
      <c r="F717" s="441">
        <f t="shared" si="3338"/>
        <v>504546</v>
      </c>
      <c r="G717" s="441">
        <f t="shared" si="3338"/>
        <v>4124319.1999999993</v>
      </c>
      <c r="H717" s="78">
        <f t="shared" si="3338"/>
        <v>12739944.870000001</v>
      </c>
      <c r="I717" s="442" t="s">
        <v>85</v>
      </c>
      <c r="J717" s="442" t="s">
        <v>1094</v>
      </c>
      <c r="K717" s="78"/>
      <c r="L717" s="441"/>
      <c r="M717" s="77"/>
      <c r="N717" s="78"/>
      <c r="O717" s="441"/>
      <c r="P717" s="441"/>
      <c r="Q717" s="441"/>
      <c r="R717" s="441"/>
      <c r="S717" s="441"/>
      <c r="T717" s="441"/>
      <c r="U717" s="78"/>
      <c r="V717" s="78"/>
      <c r="W717" s="78"/>
      <c r="X717" s="443"/>
      <c r="Y717" s="443"/>
      <c r="Z717" s="443"/>
      <c r="AA717" s="444" t="s">
        <v>58</v>
      </c>
      <c r="AB717" s="445" t="s">
        <v>59</v>
      </c>
      <c r="AC717" s="445" t="s">
        <v>60</v>
      </c>
      <c r="AD717" s="444" t="s">
        <v>61</v>
      </c>
      <c r="AE717" s="444" t="s">
        <v>62</v>
      </c>
      <c r="AF717" s="444" t="s">
        <v>63</v>
      </c>
      <c r="AG717" s="444" t="s">
        <v>58</v>
      </c>
      <c r="AH717" s="445" t="s">
        <v>59</v>
      </c>
      <c r="AI717" s="445" t="s">
        <v>60</v>
      </c>
      <c r="AJ717" s="444" t="s">
        <v>61</v>
      </c>
      <c r="AK717" s="444" t="s">
        <v>62</v>
      </c>
      <c r="AL717" s="444" t="s">
        <v>63</v>
      </c>
      <c r="AM717" s="444" t="s">
        <v>58</v>
      </c>
      <c r="AN717" s="445" t="s">
        <v>59</v>
      </c>
      <c r="AO717" s="445" t="s">
        <v>60</v>
      </c>
      <c r="AP717" s="444" t="s">
        <v>61</v>
      </c>
      <c r="AQ717" s="444" t="s">
        <v>62</v>
      </c>
      <c r="AR717" s="444" t="s">
        <v>63</v>
      </c>
      <c r="AS717" s="444" t="s">
        <v>58</v>
      </c>
      <c r="AT717" s="445" t="s">
        <v>59</v>
      </c>
      <c r="AU717" s="445" t="s">
        <v>60</v>
      </c>
      <c r="AV717" s="444" t="s">
        <v>61</v>
      </c>
      <c r="AW717" s="444" t="s">
        <v>62</v>
      </c>
      <c r="AX717" s="444" t="s">
        <v>63</v>
      </c>
      <c r="AY717" s="444" t="s">
        <v>58</v>
      </c>
      <c r="AZ717" s="445" t="s">
        <v>59</v>
      </c>
      <c r="BA717" s="445" t="s">
        <v>60</v>
      </c>
      <c r="BB717" s="444" t="s">
        <v>61</v>
      </c>
      <c r="BC717" s="444" t="s">
        <v>62</v>
      </c>
      <c r="BD717" s="444" t="s">
        <v>63</v>
      </c>
      <c r="BE717" s="339"/>
      <c r="BF717" s="339"/>
      <c r="BG717" s="339"/>
      <c r="BH717" s="339"/>
      <c r="BI717" s="339"/>
      <c r="BJ717" s="339"/>
      <c r="BK717" s="339"/>
      <c r="BL717" s="339"/>
      <c r="BM717" s="339"/>
      <c r="BN717" s="436"/>
      <c r="BO717" s="339"/>
      <c r="BP717" s="436"/>
      <c r="BQ717" s="339"/>
      <c r="BR717" s="339"/>
      <c r="BS717" s="436"/>
      <c r="BT717" s="436">
        <f>12120+2027.95+1501.37+33583.78+2155.36+7178.8+35845.83+460.62+28159.14+856.67+2516.5+2672.5</f>
        <v>129078.51999999999</v>
      </c>
      <c r="BU717" s="339" t="str">
        <f t="shared" si="3336"/>
        <v/>
      </c>
      <c r="BV717" s="339" t="str">
        <f t="shared" si="3337"/>
        <v/>
      </c>
      <c r="BW717" s="436"/>
      <c r="BX717" s="1"/>
      <c r="BY717" s="1"/>
      <c r="BZ717" s="1"/>
      <c r="CA717" s="1"/>
      <c r="CB717" s="1"/>
      <c r="CC717" s="1"/>
      <c r="CD717" s="1"/>
      <c r="CE717" s="1"/>
      <c r="CF717" s="1"/>
      <c r="CG717" s="1"/>
    </row>
    <row r="718" spans="1:85" ht="15.75" customHeight="1">
      <c r="A718" s="446"/>
      <c r="B718" s="438"/>
      <c r="C718" s="439"/>
      <c r="D718" s="440" t="s">
        <v>1103</v>
      </c>
      <c r="E718" s="78"/>
      <c r="F718" s="441"/>
      <c r="G718" s="441">
        <f>SUM(AA718:AF718)+SUM(AA720:AF720)+AG731</f>
        <v>5262003.49</v>
      </c>
      <c r="H718" s="78">
        <f>SUM(AG718:BD718)+SUM(AG720:BD720)</f>
        <v>4179155.6799999997</v>
      </c>
      <c r="I718" s="46">
        <f t="shared" ref="I718:J718" si="3339">G718/G717</f>
        <v>1.2758477787073321</v>
      </c>
      <c r="J718" s="46">
        <f t="shared" si="3339"/>
        <v>0.32803561731582276</v>
      </c>
      <c r="K718" s="78"/>
      <c r="L718" s="441"/>
      <c r="M718" s="77"/>
      <c r="N718" s="78"/>
      <c r="O718" s="441"/>
      <c r="P718" s="441"/>
      <c r="Q718" s="441"/>
      <c r="R718" s="441"/>
      <c r="S718" s="441"/>
      <c r="T718" s="441"/>
      <c r="U718" s="78"/>
      <c r="V718" s="78"/>
      <c r="W718" s="78"/>
      <c r="X718" s="443"/>
      <c r="Y718" s="443"/>
      <c r="Z718" s="443"/>
      <c r="AA718" s="245">
        <f>1157216</f>
        <v>1157216</v>
      </c>
      <c r="AB718" s="245">
        <v>385739</v>
      </c>
      <c r="AC718" s="189">
        <f>80000</f>
        <v>80000</v>
      </c>
      <c r="AD718" s="245">
        <v>1928694</v>
      </c>
      <c r="AE718" s="189">
        <f>25700+232108.22+9200</f>
        <v>267008.21999999997</v>
      </c>
      <c r="AF718" s="189">
        <f>7600+129295+200000-598.46-642.9</f>
        <v>335653.63999999996</v>
      </c>
      <c r="AG718" s="189"/>
      <c r="AH718" s="245">
        <f>140000+322000+340000</f>
        <v>802000</v>
      </c>
      <c r="AI718" s="189"/>
      <c r="AJ718" s="245">
        <f>1082348+1004005</f>
        <v>2086353</v>
      </c>
      <c r="AK718" s="245">
        <v>440000</v>
      </c>
      <c r="AL718" s="189"/>
      <c r="AM718" s="189"/>
      <c r="AN718" s="189">
        <f>203104+212</f>
        <v>203316</v>
      </c>
      <c r="AO718" s="189"/>
      <c r="AP718" s="189"/>
      <c r="AQ718" s="189"/>
      <c r="AR718" s="189"/>
      <c r="AS718" s="189"/>
      <c r="AT718" s="189"/>
      <c r="AU718" s="189"/>
      <c r="AV718" s="189"/>
      <c r="AW718" s="245">
        <v>61482.48</v>
      </c>
      <c r="AX718" s="189"/>
      <c r="AY718" s="189"/>
      <c r="AZ718" s="189"/>
      <c r="BA718" s="189"/>
      <c r="BB718" s="189"/>
      <c r="BC718" s="189"/>
      <c r="BD718" s="189"/>
      <c r="BE718" s="339"/>
      <c r="BF718" s="339"/>
      <c r="BG718" s="339"/>
      <c r="BH718" s="339"/>
      <c r="BI718" s="339"/>
      <c r="BJ718" s="339"/>
      <c r="BK718" s="339"/>
      <c r="BL718" s="339"/>
      <c r="BM718" s="339"/>
      <c r="BN718" s="436"/>
      <c r="BO718" s="339"/>
      <c r="BP718" s="436"/>
      <c r="BQ718" s="339"/>
      <c r="BR718" s="339"/>
      <c r="BS718" s="436"/>
      <c r="BT718" s="436">
        <f>778.1+52173.14+6086.4+3353.08+9095.36+5214.32+31992.54+1081.05+12549.48+8638.67+4356.56+6878.79+15654.05+8804</f>
        <v>166655.54</v>
      </c>
      <c r="BU718" s="339"/>
      <c r="BV718" s="339" t="str">
        <f t="shared" si="3337"/>
        <v/>
      </c>
      <c r="BW718" s="436"/>
      <c r="BX718" s="1"/>
      <c r="BY718" s="1"/>
      <c r="BZ718" s="1"/>
      <c r="CA718" s="1"/>
      <c r="CB718" s="1"/>
      <c r="CC718" s="1"/>
      <c r="CD718" s="1"/>
      <c r="CE718" s="1"/>
      <c r="CF718" s="1"/>
      <c r="CG718" s="1"/>
    </row>
    <row r="719" spans="1:85" ht="15.75" customHeight="1">
      <c r="A719" s="446"/>
      <c r="B719" s="438"/>
      <c r="C719" s="439"/>
      <c r="D719" s="440" t="s">
        <v>1104</v>
      </c>
      <c r="E719" s="78"/>
      <c r="F719" s="441"/>
      <c r="G719" s="441">
        <f>K719</f>
        <v>4585961.1399999997</v>
      </c>
      <c r="H719" s="78">
        <f>N719</f>
        <v>4179155.6800000006</v>
      </c>
      <c r="I719" s="46">
        <f t="shared" ref="I719:J719" si="3340">G719/G718</f>
        <v>0.87152377392284841</v>
      </c>
      <c r="J719" s="46">
        <f t="shared" si="3340"/>
        <v>1.0000000000000002</v>
      </c>
      <c r="K719" s="78">
        <f>K4+K9+K166+K280+K512+K707</f>
        <v>4585961.1399999997</v>
      </c>
      <c r="L719" s="441">
        <f t="shared" ref="L719:N719" si="3341">L4+L9+L166+L280+L512</f>
        <v>3858148.9499999997</v>
      </c>
      <c r="M719" s="77">
        <f t="shared" si="3341"/>
        <v>138678.68</v>
      </c>
      <c r="N719" s="78">
        <f t="shared" si="3341"/>
        <v>4179155.6800000006</v>
      </c>
      <c r="O719" s="441"/>
      <c r="P719" s="441"/>
      <c r="Q719" s="441"/>
      <c r="R719" s="441"/>
      <c r="S719" s="441"/>
      <c r="T719" s="441"/>
      <c r="U719" s="78"/>
      <c r="V719" s="78"/>
      <c r="W719" s="78"/>
      <c r="X719" s="443"/>
      <c r="Y719" s="443"/>
      <c r="Z719" s="443"/>
      <c r="AA719" s="447" t="s">
        <v>64</v>
      </c>
      <c r="AB719" s="447" t="s">
        <v>65</v>
      </c>
      <c r="AC719" s="447" t="s">
        <v>66</v>
      </c>
      <c r="AD719" s="447" t="s">
        <v>67</v>
      </c>
      <c r="AE719" s="447" t="s">
        <v>68</v>
      </c>
      <c r="AF719" s="447" t="s">
        <v>69</v>
      </c>
      <c r="AG719" s="447" t="s">
        <v>64</v>
      </c>
      <c r="AH719" s="447" t="s">
        <v>65</v>
      </c>
      <c r="AI719" s="447" t="s">
        <v>66</v>
      </c>
      <c r="AJ719" s="447" t="s">
        <v>67</v>
      </c>
      <c r="AK719" s="447" t="s">
        <v>68</v>
      </c>
      <c r="AL719" s="447" t="s">
        <v>69</v>
      </c>
      <c r="AM719" s="447" t="s">
        <v>64</v>
      </c>
      <c r="AN719" s="447" t="s">
        <v>65</v>
      </c>
      <c r="AO719" s="447" t="s">
        <v>66</v>
      </c>
      <c r="AP719" s="447" t="s">
        <v>67</v>
      </c>
      <c r="AQ719" s="447" t="s">
        <v>68</v>
      </c>
      <c r="AR719" s="447" t="s">
        <v>69</v>
      </c>
      <c r="AS719" s="447" t="s">
        <v>64</v>
      </c>
      <c r="AT719" s="447" t="s">
        <v>65</v>
      </c>
      <c r="AU719" s="447" t="s">
        <v>66</v>
      </c>
      <c r="AV719" s="447" t="s">
        <v>67</v>
      </c>
      <c r="AW719" s="447" t="s">
        <v>68</v>
      </c>
      <c r="AX719" s="447" t="s">
        <v>69</v>
      </c>
      <c r="AY719" s="447" t="s">
        <v>64</v>
      </c>
      <c r="AZ719" s="447" t="s">
        <v>65</v>
      </c>
      <c r="BA719" s="447" t="s">
        <v>66</v>
      </c>
      <c r="BB719" s="447" t="s">
        <v>67</v>
      </c>
      <c r="BC719" s="447" t="s">
        <v>68</v>
      </c>
      <c r="BD719" s="447" t="s">
        <v>69</v>
      </c>
      <c r="BE719" s="339"/>
      <c r="BF719" s="339"/>
      <c r="BG719" s="339"/>
      <c r="BH719" s="339"/>
      <c r="BI719" s="339"/>
      <c r="BJ719" s="339"/>
      <c r="BK719" s="339"/>
      <c r="BL719" s="339"/>
      <c r="BM719" s="339"/>
      <c r="BN719" s="436"/>
      <c r="BO719" s="339"/>
      <c r="BP719" s="436"/>
      <c r="BQ719" s="339"/>
      <c r="BR719" s="339"/>
      <c r="BS719" s="436"/>
      <c r="BT719" s="436">
        <f>346739.18</f>
        <v>346739.18</v>
      </c>
      <c r="BU719" s="339" t="str">
        <f>IF(BP719=0,"",BP719)</f>
        <v/>
      </c>
      <c r="BV719" s="339" t="str">
        <f t="shared" si="3337"/>
        <v/>
      </c>
      <c r="BW719" s="436"/>
      <c r="BX719" s="1"/>
      <c r="BY719" s="1"/>
      <c r="BZ719" s="1"/>
      <c r="CA719" s="1"/>
      <c r="CB719" s="1"/>
      <c r="CC719" s="1"/>
      <c r="CD719" s="1"/>
      <c r="CE719" s="1"/>
      <c r="CF719" s="1"/>
      <c r="CG719" s="1"/>
    </row>
    <row r="720" spans="1:85" ht="15.75" customHeight="1">
      <c r="A720" s="446"/>
      <c r="B720" s="438"/>
      <c r="C720" s="439"/>
      <c r="D720" s="440" t="s">
        <v>1105</v>
      </c>
      <c r="E720" s="78"/>
      <c r="F720" s="441"/>
      <c r="G720" s="441">
        <f>O720</f>
        <v>4406058.54</v>
      </c>
      <c r="H720" s="78">
        <f>Q720</f>
        <v>3291019.22</v>
      </c>
      <c r="I720" s="46">
        <f t="shared" ref="I720:J720" si="3342">G720/G718</f>
        <v>0.83733478101513004</v>
      </c>
      <c r="J720" s="46">
        <f t="shared" si="3342"/>
        <v>0.78748423652884847</v>
      </c>
      <c r="K720" s="448"/>
      <c r="L720" s="449"/>
      <c r="M720" s="450"/>
      <c r="N720" s="448"/>
      <c r="O720" s="441">
        <f>O4+O9+O166+O280+O512+O707</f>
        <v>4406058.54</v>
      </c>
      <c r="P720" s="441">
        <f t="shared" ref="P720:Q720" si="3343">P4+P9+P166+P280+P512</f>
        <v>3248841.5700000003</v>
      </c>
      <c r="Q720" s="441">
        <f t="shared" si="3343"/>
        <v>3291019.22</v>
      </c>
      <c r="R720" s="441"/>
      <c r="S720" s="441"/>
      <c r="T720" s="441"/>
      <c r="U720" s="78"/>
      <c r="V720" s="78"/>
      <c r="W720" s="78"/>
      <c r="X720" s="443"/>
      <c r="Y720" s="443"/>
      <c r="Z720" s="443"/>
      <c r="AA720" s="189">
        <f>825.77+79100.77-1640</f>
        <v>78286.540000000008</v>
      </c>
      <c r="AB720" s="245">
        <f>969.87+5544+300.9+4974</f>
        <v>11788.77</v>
      </c>
      <c r="AC720" s="245">
        <f>200000</f>
        <v>200000</v>
      </c>
      <c r="AD720" s="245">
        <f>-32838+3499.2+300.9+150.45+3139.6+833.96+8648</f>
        <v>-16265.89</v>
      </c>
      <c r="AE720" s="189">
        <f>15328+2400+4331.75+5770.5</f>
        <v>27830.25</v>
      </c>
      <c r="AF720" s="245">
        <f>-5230.98-90204.67</f>
        <v>-95435.65</v>
      </c>
      <c r="AG720" s="189"/>
      <c r="AH720" s="189"/>
      <c r="AI720" s="245">
        <f>-220000-200000+30210.99</f>
        <v>-389789.01</v>
      </c>
      <c r="AJ720" s="189"/>
      <c r="AK720" s="245">
        <f>-87414.65-205885-81110.35+24200+145320</f>
        <v>-204890</v>
      </c>
      <c r="AL720" s="189"/>
      <c r="AM720" s="189"/>
      <c r="AN720" s="189"/>
      <c r="AO720" s="189"/>
      <c r="AP720" s="189"/>
      <c r="AQ720" s="189"/>
      <c r="AR720" s="245">
        <v>-2.2999999999999998</v>
      </c>
      <c r="AS720" s="189"/>
      <c r="AT720" s="245">
        <v>66000</v>
      </c>
      <c r="AU720" s="189"/>
      <c r="AV720" s="245">
        <f>-11870-24508.56+600000</f>
        <v>563621.43999999994</v>
      </c>
      <c r="AW720" s="189">
        <f>54590.31</f>
        <v>54590.31</v>
      </c>
      <c r="AX720" s="189">
        <f>155.88+113668.48+11497.03-37.03</f>
        <v>125284.36</v>
      </c>
      <c r="AY720" s="245">
        <v>222166.6</v>
      </c>
      <c r="AZ720" s="189"/>
      <c r="BA720" s="189"/>
      <c r="BB720" s="189"/>
      <c r="BC720" s="189"/>
      <c r="BD720" s="189">
        <f>-107.6+149130.4</f>
        <v>149022.79999999999</v>
      </c>
      <c r="BE720" s="339"/>
      <c r="BF720" s="339"/>
      <c r="BG720" s="339"/>
      <c r="BH720" s="339"/>
      <c r="BI720" s="339"/>
      <c r="BJ720" s="339"/>
      <c r="BK720" s="339"/>
      <c r="BL720" s="339"/>
      <c r="BM720" s="339"/>
      <c r="BN720" s="436"/>
      <c r="BO720" s="339"/>
      <c r="BP720" s="436"/>
      <c r="BQ720" s="339"/>
      <c r="BR720" s="339"/>
      <c r="BS720" s="436"/>
      <c r="BT720" s="436">
        <f>BT717+BT718+BT719</f>
        <v>642473.24</v>
      </c>
      <c r="BU720" s="339">
        <f>BT3+BU3</f>
        <v>642473.2399989001</v>
      </c>
      <c r="BV720" s="339" t="str">
        <f t="shared" si="3337"/>
        <v/>
      </c>
      <c r="BW720" s="436"/>
      <c r="BX720" s="1"/>
      <c r="BY720" s="1"/>
      <c r="BZ720" s="1"/>
      <c r="CA720" s="1"/>
      <c r="CB720" s="1"/>
      <c r="CC720" s="1"/>
      <c r="CD720" s="1"/>
      <c r="CE720" s="1"/>
      <c r="CF720" s="1"/>
      <c r="CG720" s="1"/>
    </row>
    <row r="721" spans="1:85" ht="15.75" customHeight="1">
      <c r="A721" s="446"/>
      <c r="B721" s="438"/>
      <c r="C721" s="451"/>
      <c r="D721" s="440" t="s">
        <v>1106</v>
      </c>
      <c r="E721" s="78"/>
      <c r="F721" s="441"/>
      <c r="G721" s="441">
        <f>R721</f>
        <v>4335219.16</v>
      </c>
      <c r="H721" s="78">
        <f>T721</f>
        <v>3195203.0600011004</v>
      </c>
      <c r="I721" s="46">
        <f t="shared" ref="I721:J721" si="3344">G721/G718</f>
        <v>0.82387234600636872</v>
      </c>
      <c r="J721" s="46">
        <f t="shared" si="3344"/>
        <v>0.76455707914692961</v>
      </c>
      <c r="K721" s="448"/>
      <c r="L721" s="449"/>
      <c r="M721" s="450"/>
      <c r="N721" s="448"/>
      <c r="O721" s="449"/>
      <c r="P721" s="449"/>
      <c r="Q721" s="449"/>
      <c r="R721" s="441">
        <f>R4+R9+R166+R280+R512+R707</f>
        <v>4335219.16</v>
      </c>
      <c r="S721" s="441">
        <f t="shared" ref="S721:T721" si="3345">S4+S9+S166+S280+S512</f>
        <v>3243652.5700000003</v>
      </c>
      <c r="T721" s="441">
        <f t="shared" si="3345"/>
        <v>3195203.0600011004</v>
      </c>
      <c r="U721" s="78">
        <f>U4+U9+U166+U280+U512+U707</f>
        <v>179902.59999999998</v>
      </c>
      <c r="V721" s="78">
        <f t="shared" ref="V721:W721" si="3346">V4+V9+V166+V280+V512</f>
        <v>475817.7</v>
      </c>
      <c r="W721" s="78">
        <f t="shared" si="3346"/>
        <v>888136.46</v>
      </c>
      <c r="X721" s="443"/>
      <c r="Y721" s="443"/>
      <c r="Z721" s="452"/>
      <c r="AA721" s="453"/>
      <c r="AB721" s="453"/>
      <c r="AC721" s="453"/>
      <c r="AD721" s="454"/>
      <c r="AE721" s="455"/>
      <c r="AF721" s="455"/>
      <c r="AG721" s="455"/>
      <c r="AH721" s="456"/>
      <c r="AI721" s="339"/>
      <c r="AJ721" s="339"/>
      <c r="AK721" s="339"/>
      <c r="AL721" s="339"/>
      <c r="AM721" s="339"/>
      <c r="AN721" s="339"/>
      <c r="AO721" s="339"/>
      <c r="AP721" s="339"/>
      <c r="AQ721" s="339"/>
      <c r="AR721" s="339"/>
      <c r="AS721" s="339"/>
      <c r="AT721" s="339"/>
      <c r="AU721" s="339"/>
      <c r="AV721" s="339"/>
      <c r="AW721" s="339"/>
      <c r="AX721" s="339"/>
      <c r="AY721" s="339"/>
      <c r="AZ721" s="339"/>
      <c r="BA721" s="339"/>
      <c r="BB721" s="339"/>
      <c r="BC721" s="339"/>
      <c r="BD721" s="339"/>
      <c r="BE721" s="339"/>
      <c r="BF721" s="339"/>
      <c r="BG721" s="339"/>
      <c r="BH721" s="339"/>
      <c r="BI721" s="339"/>
      <c r="BJ721" s="339"/>
      <c r="BK721" s="339"/>
      <c r="BL721" s="339"/>
      <c r="BM721" s="339"/>
      <c r="BN721" s="436"/>
      <c r="BO721" s="339"/>
      <c r="BP721" s="436"/>
      <c r="BQ721" s="339"/>
      <c r="BR721" s="339"/>
      <c r="BS721" s="436"/>
      <c r="BT721" s="436"/>
      <c r="BU721" s="339" t="str">
        <f t="shared" ref="BU721:BU729" si="3347">IF(BP721=0,"",BP721)</f>
        <v/>
      </c>
      <c r="BV721" s="339" t="str">
        <f t="shared" si="3337"/>
        <v/>
      </c>
      <c r="BW721" s="436"/>
      <c r="BX721" s="1"/>
      <c r="BY721" s="1"/>
      <c r="BZ721" s="1"/>
      <c r="CA721" s="1"/>
      <c r="CB721" s="1"/>
      <c r="CC721" s="1"/>
      <c r="CD721" s="1"/>
      <c r="CE721" s="1"/>
      <c r="CF721" s="1"/>
      <c r="CG721" s="1"/>
    </row>
    <row r="722" spans="1:85" ht="15.75" customHeight="1">
      <c r="A722" s="446"/>
      <c r="B722" s="438"/>
      <c r="C722" s="451"/>
      <c r="D722" s="457" t="s">
        <v>1107</v>
      </c>
      <c r="E722" s="458"/>
      <c r="F722" s="459"/>
      <c r="G722" s="459">
        <f t="shared" ref="G722:H722" si="3348">G717-G718</f>
        <v>-1137684.290000001</v>
      </c>
      <c r="H722" s="458">
        <f t="shared" si="3348"/>
        <v>8560789.1900000013</v>
      </c>
      <c r="I722" s="460">
        <f t="shared" ref="I722:J722" si="3349">G722/G717</f>
        <v>-0.27584777870733213</v>
      </c>
      <c r="J722" s="460">
        <f t="shared" si="3349"/>
        <v>0.67196438268417724</v>
      </c>
      <c r="K722" s="611" t="s">
        <v>1108</v>
      </c>
      <c r="L722" s="588"/>
      <c r="M722" s="588"/>
      <c r="N722" s="585"/>
      <c r="O722" s="612" t="s">
        <v>1109</v>
      </c>
      <c r="P722" s="585"/>
      <c r="Q722" s="461"/>
      <c r="R722" s="462">
        <f>BK3+BM3</f>
        <v>7530422.2200011006</v>
      </c>
      <c r="S722" s="462"/>
      <c r="T722" s="462"/>
      <c r="U722" s="463">
        <f>U721+W721</f>
        <v>1068039.06</v>
      </c>
      <c r="V722" s="463"/>
      <c r="W722" s="463"/>
      <c r="X722" s="443"/>
      <c r="Y722" s="443"/>
      <c r="Z722" s="452"/>
      <c r="AA722" s="597" t="s">
        <v>1110</v>
      </c>
      <c r="AB722" s="588"/>
      <c r="AC722" s="585"/>
      <c r="AD722" s="613" t="s">
        <v>1111</v>
      </c>
      <c r="AE722" s="588"/>
      <c r="AF722" s="588"/>
      <c r="AG722" s="585"/>
      <c r="AH722" s="613" t="s">
        <v>1112</v>
      </c>
      <c r="AI722" s="588"/>
      <c r="AJ722" s="588"/>
      <c r="AK722" s="585"/>
      <c r="AL722" s="613" t="s">
        <v>1113</v>
      </c>
      <c r="AM722" s="588"/>
      <c r="AN722" s="588"/>
      <c r="AO722" s="585"/>
      <c r="AP722" s="339"/>
      <c r="AQ722" s="339"/>
      <c r="AR722" s="339"/>
      <c r="AS722" s="339"/>
      <c r="AT722" s="339"/>
      <c r="AU722" s="339"/>
      <c r="AV722" s="339"/>
      <c r="AW722" s="339"/>
      <c r="AX722" s="339"/>
      <c r="AY722" s="339"/>
      <c r="AZ722" s="339"/>
      <c r="BA722" s="339"/>
      <c r="BB722" s="339"/>
      <c r="BC722" s="339"/>
      <c r="BD722" s="339"/>
      <c r="BE722" s="339"/>
      <c r="BF722" s="339"/>
      <c r="BG722" s="339"/>
      <c r="BH722" s="339"/>
      <c r="BI722" s="339"/>
      <c r="BJ722" s="339"/>
      <c r="BK722" s="339"/>
      <c r="BL722" s="339"/>
      <c r="BM722" s="339"/>
      <c r="BN722" s="436"/>
      <c r="BO722" s="339"/>
      <c r="BP722" s="436"/>
      <c r="BQ722" s="339"/>
      <c r="BR722" s="339"/>
      <c r="BS722" s="436"/>
      <c r="BT722" s="436"/>
      <c r="BU722" s="339" t="str">
        <f t="shared" si="3347"/>
        <v/>
      </c>
      <c r="BV722" s="339" t="str">
        <f t="shared" si="3337"/>
        <v/>
      </c>
      <c r="BW722" s="436"/>
      <c r="BX722" s="1"/>
      <c r="BY722" s="1"/>
      <c r="BZ722" s="1"/>
      <c r="CA722" s="1"/>
      <c r="CB722" s="1"/>
      <c r="CC722" s="1"/>
      <c r="CD722" s="1"/>
      <c r="CE722" s="1"/>
      <c r="CF722" s="1"/>
      <c r="CG722" s="1"/>
    </row>
    <row r="723" spans="1:85" ht="15.75" customHeight="1">
      <c r="A723" s="446"/>
      <c r="B723" s="438"/>
      <c r="C723" s="451"/>
      <c r="D723" s="457" t="s">
        <v>1114</v>
      </c>
      <c r="E723" s="458"/>
      <c r="F723" s="459"/>
      <c r="G723" s="459">
        <f>G718-K719</f>
        <v>676042.35000000056</v>
      </c>
      <c r="H723" s="458">
        <f>H718-N719</f>
        <v>0</v>
      </c>
      <c r="I723" s="460">
        <f t="shared" ref="I723:J723" si="3350">G723/G718</f>
        <v>0.12847622607715156</v>
      </c>
      <c r="J723" s="460">
        <f t="shared" si="3350"/>
        <v>0</v>
      </c>
      <c r="K723" s="584" t="s">
        <v>1115</v>
      </c>
      <c r="L723" s="585"/>
      <c r="M723" s="464">
        <f>SUM(AA718:AF718)+SUM(AA720:AF720)+AG731</f>
        <v>5262003.49</v>
      </c>
      <c r="N723" s="465">
        <f t="shared" ref="N723:N728" si="3351">M723*100/$M$728/100</f>
        <v>0.55734718536685779</v>
      </c>
      <c r="O723" s="83">
        <f>K3</f>
        <v>4585961.1399999997</v>
      </c>
      <c r="P723" s="39">
        <f t="shared" ref="P723:P728" si="3352">O723*100/$O$728/100</f>
        <v>0.52320593486396905</v>
      </c>
      <c r="Q723" s="461"/>
      <c r="R723" s="462">
        <f>2266574.52</f>
        <v>2266574.52</v>
      </c>
      <c r="S723" s="462"/>
      <c r="T723" s="462"/>
      <c r="U723" s="466">
        <v>1068039.06</v>
      </c>
      <c r="V723" s="466">
        <v>346739.18</v>
      </c>
      <c r="W723" s="463"/>
      <c r="X723" s="443"/>
      <c r="Y723" s="443"/>
      <c r="Z723" s="452"/>
      <c r="AA723" s="591" t="s">
        <v>1116</v>
      </c>
      <c r="AB723" s="585"/>
      <c r="AC723" s="467" t="s">
        <v>1117</v>
      </c>
      <c r="AD723" s="592" t="s">
        <v>1118</v>
      </c>
      <c r="AE723" s="588"/>
      <c r="AF723" s="585"/>
      <c r="AG723" s="469" t="s">
        <v>1117</v>
      </c>
      <c r="AH723" s="468" t="s">
        <v>1119</v>
      </c>
      <c r="AI723" s="469" t="s">
        <v>1116</v>
      </c>
      <c r="AJ723" s="469" t="s">
        <v>1120</v>
      </c>
      <c r="AK723" s="469" t="s">
        <v>1117</v>
      </c>
      <c r="AL723" s="468" t="s">
        <v>1119</v>
      </c>
      <c r="AM723" s="469" t="s">
        <v>1116</v>
      </c>
      <c r="AN723" s="469" t="s">
        <v>1120</v>
      </c>
      <c r="AO723" s="469" t="s">
        <v>1117</v>
      </c>
      <c r="AP723" s="339"/>
      <c r="AQ723" s="339"/>
      <c r="AR723" s="339"/>
      <c r="AS723" s="339"/>
      <c r="AT723" s="339"/>
      <c r="AU723" s="339"/>
      <c r="AV723" s="339"/>
      <c r="AW723" s="339"/>
      <c r="AX723" s="339"/>
      <c r="AY723" s="339"/>
      <c r="AZ723" s="339"/>
      <c r="BA723" s="339"/>
      <c r="BB723" s="339"/>
      <c r="BC723" s="339"/>
      <c r="BD723" s="339"/>
      <c r="BE723" s="339"/>
      <c r="BF723" s="339"/>
      <c r="BG723" s="339"/>
      <c r="BH723" s="339"/>
      <c r="BI723" s="339"/>
      <c r="BJ723" s="339"/>
      <c r="BK723" s="339"/>
      <c r="BL723" s="339"/>
      <c r="BM723" s="339"/>
      <c r="BN723" s="436"/>
      <c r="BO723" s="339"/>
      <c r="BP723" s="436"/>
      <c r="BQ723" s="339"/>
      <c r="BR723" s="339"/>
      <c r="BS723" s="436"/>
      <c r="BT723" s="436"/>
      <c r="BU723" s="339" t="str">
        <f t="shared" si="3347"/>
        <v/>
      </c>
      <c r="BV723" s="339" t="str">
        <f t="shared" si="3337"/>
        <v/>
      </c>
      <c r="BW723" s="436"/>
      <c r="BX723" s="1"/>
      <c r="BY723" s="1"/>
      <c r="BZ723" s="1"/>
      <c r="CA723" s="1"/>
      <c r="CB723" s="1"/>
      <c r="CC723" s="1"/>
      <c r="CD723" s="1"/>
      <c r="CE723" s="1"/>
      <c r="CF723" s="1"/>
      <c r="CG723" s="1"/>
    </row>
    <row r="724" spans="1:85" ht="15.75" customHeight="1">
      <c r="A724" s="446"/>
      <c r="B724" s="438"/>
      <c r="C724" s="451"/>
      <c r="D724" s="457" t="s">
        <v>1121</v>
      </c>
      <c r="E724" s="458"/>
      <c r="F724" s="459"/>
      <c r="G724" s="459">
        <f>K719-O720</f>
        <v>179902.59999999963</v>
      </c>
      <c r="H724" s="458">
        <f>N719-Q720</f>
        <v>888136.46000000043</v>
      </c>
      <c r="I724" s="460">
        <f>G724/K719</f>
        <v>3.9228984831737944E-2</v>
      </c>
      <c r="J724" s="460">
        <f>H724/N719</f>
        <v>0.21251576347115173</v>
      </c>
      <c r="K724" s="584" t="s">
        <v>636</v>
      </c>
      <c r="L724" s="585"/>
      <c r="M724" s="464">
        <f>SUM(AG718:AL718)+SUM(AG720:AL720)</f>
        <v>2733673.99</v>
      </c>
      <c r="N724" s="465">
        <f t="shared" si="3351"/>
        <v>0.28954855444937905</v>
      </c>
      <c r="O724" s="83">
        <f>N338-N424-N352</f>
        <v>2733673.99</v>
      </c>
      <c r="P724" s="39">
        <f t="shared" si="3352"/>
        <v>0.31188106743339444</v>
      </c>
      <c r="Q724" s="461"/>
      <c r="R724" s="462">
        <f>R722-R723</f>
        <v>5263847.7000011001</v>
      </c>
      <c r="S724" s="462"/>
      <c r="T724" s="462"/>
      <c r="U724" s="463">
        <f>U722-U723</f>
        <v>0</v>
      </c>
      <c r="V724" s="463">
        <f>V721-V723</f>
        <v>129078.52000000002</v>
      </c>
      <c r="W724" s="463"/>
      <c r="X724" s="443"/>
      <c r="Y724" s="443"/>
      <c r="Z724" s="452"/>
      <c r="AA724" s="586" t="s">
        <v>1122</v>
      </c>
      <c r="AB724" s="585"/>
      <c r="AC724" s="401">
        <f t="shared" ref="AC724:AC726" si="3353">K708</f>
        <v>17715.53</v>
      </c>
      <c r="AD724" s="470" t="s">
        <v>1123</v>
      </c>
      <c r="AE724" s="267"/>
      <c r="AF724" s="267"/>
      <c r="AG724" s="387">
        <v>5230.9799999999996</v>
      </c>
      <c r="AH724" s="471" t="s">
        <v>1124</v>
      </c>
      <c r="AI724" s="471" t="s">
        <v>1125</v>
      </c>
      <c r="AJ724" s="472" t="s">
        <v>1126</v>
      </c>
      <c r="AK724" s="472">
        <v>598.46</v>
      </c>
      <c r="AL724" s="471" t="s">
        <v>1124</v>
      </c>
      <c r="AM724" s="471" t="s">
        <v>1127</v>
      </c>
      <c r="AN724" s="471" t="s">
        <v>1128</v>
      </c>
      <c r="AO724" s="472">
        <v>32838</v>
      </c>
      <c r="AP724" s="339"/>
      <c r="AQ724" s="339"/>
      <c r="AR724" s="339"/>
      <c r="AS724" s="339"/>
      <c r="AT724" s="339"/>
      <c r="AU724" s="339"/>
      <c r="AV724" s="339"/>
      <c r="AW724" s="339"/>
      <c r="AX724" s="339"/>
      <c r="AY724" s="339"/>
      <c r="AZ724" s="339"/>
      <c r="BA724" s="339"/>
      <c r="BB724" s="339"/>
      <c r="BC724" s="339"/>
      <c r="BD724" s="339"/>
      <c r="BE724" s="339"/>
      <c r="BF724" s="339"/>
      <c r="BG724" s="339"/>
      <c r="BH724" s="339"/>
      <c r="BI724" s="339"/>
      <c r="BJ724" s="339"/>
      <c r="BK724" s="339"/>
      <c r="BL724" s="339"/>
      <c r="BM724" s="339"/>
      <c r="BN724" s="436"/>
      <c r="BO724" s="339"/>
      <c r="BP724" s="436"/>
      <c r="BQ724" s="339"/>
      <c r="BR724" s="339"/>
      <c r="BS724" s="436"/>
      <c r="BT724" s="436"/>
      <c r="BU724" s="339" t="str">
        <f t="shared" si="3347"/>
        <v/>
      </c>
      <c r="BV724" s="339" t="str">
        <f t="shared" si="3337"/>
        <v/>
      </c>
      <c r="BW724" s="436"/>
      <c r="BX724" s="1"/>
      <c r="BY724" s="1"/>
      <c r="BZ724" s="1"/>
      <c r="CA724" s="1"/>
      <c r="CB724" s="1"/>
      <c r="CC724" s="1"/>
      <c r="CD724" s="1"/>
      <c r="CE724" s="1"/>
      <c r="CF724" s="1"/>
      <c r="CG724" s="1"/>
    </row>
    <row r="725" spans="1:85" ht="15.75" customHeight="1">
      <c r="A725" s="446"/>
      <c r="B725" s="438"/>
      <c r="C725" s="451"/>
      <c r="D725" s="457" t="s">
        <v>1129</v>
      </c>
      <c r="E725" s="458"/>
      <c r="F725" s="459"/>
      <c r="G725" s="459">
        <f t="shared" ref="G725:H725" si="3354">BN3</f>
        <v>70839.380000000034</v>
      </c>
      <c r="H725" s="458">
        <f t="shared" si="3354"/>
        <v>95816.159998900126</v>
      </c>
      <c r="I725" s="460">
        <f>G725/O720</f>
        <v>1.607772101911293E-2</v>
      </c>
      <c r="J725" s="460">
        <f>H725/Q720</f>
        <v>2.9114433430413124E-2</v>
      </c>
      <c r="K725" s="584" t="s">
        <v>753</v>
      </c>
      <c r="L725" s="585"/>
      <c r="M725" s="464">
        <f>SUM(AM718:AR718)+SUM(AM720:AR720)</f>
        <v>203313.7</v>
      </c>
      <c r="N725" s="465">
        <f t="shared" si="3351"/>
        <v>2.1534823885402194E-2</v>
      </c>
      <c r="O725" s="83">
        <f>N424</f>
        <v>203313.7</v>
      </c>
      <c r="P725" s="39">
        <f t="shared" si="3352"/>
        <v>2.3195777554964749E-2</v>
      </c>
      <c r="Q725" s="461"/>
      <c r="R725" s="462"/>
      <c r="S725" s="462"/>
      <c r="T725" s="462"/>
      <c r="U725" s="463"/>
      <c r="V725" s="463"/>
      <c r="W725" s="463"/>
      <c r="X725" s="443"/>
      <c r="Y725" s="443"/>
      <c r="Z725" s="452"/>
      <c r="AA725" s="586" t="s">
        <v>1130</v>
      </c>
      <c r="AB725" s="585"/>
      <c r="AC725" s="401">
        <f t="shared" si="3353"/>
        <v>42956</v>
      </c>
      <c r="AD725" s="401"/>
      <c r="AE725" s="267"/>
      <c r="AF725" s="267"/>
      <c r="AG725" s="267"/>
      <c r="AH725" s="471" t="s">
        <v>1131</v>
      </c>
      <c r="AI725" s="472" t="s">
        <v>1125</v>
      </c>
      <c r="AJ725" s="472" t="s">
        <v>1132</v>
      </c>
      <c r="AK725" s="472">
        <v>642.9</v>
      </c>
      <c r="AL725" s="473"/>
      <c r="AM725" s="474"/>
      <c r="AN725" s="474"/>
      <c r="AO725" s="474"/>
      <c r="AP725" s="339"/>
      <c r="AQ725" s="339"/>
      <c r="AR725" s="339"/>
      <c r="AS725" s="339"/>
      <c r="AT725" s="339"/>
      <c r="AU725" s="339"/>
      <c r="AV725" s="339"/>
      <c r="AW725" s="339"/>
      <c r="AX725" s="339"/>
      <c r="AY725" s="339"/>
      <c r="AZ725" s="339"/>
      <c r="BA725" s="339"/>
      <c r="BB725" s="339"/>
      <c r="BC725" s="339"/>
      <c r="BD725" s="339"/>
      <c r="BE725" s="339"/>
      <c r="BF725" s="339"/>
      <c r="BG725" s="339"/>
      <c r="BH725" s="339"/>
      <c r="BI725" s="339"/>
      <c r="BJ725" s="339"/>
      <c r="BK725" s="339"/>
      <c r="BL725" s="339"/>
      <c r="BM725" s="339"/>
      <c r="BN725" s="436"/>
      <c r="BO725" s="339"/>
      <c r="BP725" s="436"/>
      <c r="BQ725" s="339"/>
      <c r="BR725" s="339"/>
      <c r="BS725" s="436"/>
      <c r="BT725" s="436"/>
      <c r="BU725" s="339" t="str">
        <f t="shared" si="3347"/>
        <v/>
      </c>
      <c r="BV725" s="339" t="str">
        <f t="shared" si="3337"/>
        <v/>
      </c>
      <c r="BW725" s="436"/>
      <c r="BX725" s="1"/>
      <c r="BY725" s="1"/>
      <c r="BZ725" s="1"/>
      <c r="CA725" s="1"/>
      <c r="CB725" s="1"/>
      <c r="CC725" s="1"/>
      <c r="CD725" s="1"/>
      <c r="CE725" s="1"/>
      <c r="CF725" s="1"/>
      <c r="CG725" s="1"/>
    </row>
    <row r="726" spans="1:85" ht="15.75" customHeight="1">
      <c r="A726" s="475"/>
      <c r="B726" s="419"/>
      <c r="C726" s="451"/>
      <c r="D726" s="476" t="s">
        <v>1133</v>
      </c>
      <c r="E726" s="477"/>
      <c r="F726" s="478"/>
      <c r="G726" s="478">
        <f>L719-P720-M719</f>
        <v>470628.69999999943</v>
      </c>
      <c r="H726" s="477"/>
      <c r="I726" s="479">
        <f>G726/L719</f>
        <v>0.12198303023007949</v>
      </c>
      <c r="J726" s="476"/>
      <c r="K726" s="584" t="s">
        <v>1134</v>
      </c>
      <c r="L726" s="585"/>
      <c r="M726" s="464">
        <f>SUM(AS718:AX718)+SUM(AS720:AX720)</f>
        <v>870978.59</v>
      </c>
      <c r="N726" s="465">
        <f t="shared" si="3351"/>
        <v>9.2253353038215954E-2</v>
      </c>
      <c r="O726" s="81">
        <f>N150+N268+N352+N505+N689</f>
        <v>870978.59</v>
      </c>
      <c r="P726" s="39">
        <f t="shared" si="3352"/>
        <v>9.936873722123421E-2</v>
      </c>
      <c r="Q726" s="339"/>
      <c r="R726" s="339"/>
      <c r="S726" s="339"/>
      <c r="T726" s="339"/>
      <c r="U726" s="480"/>
      <c r="V726" s="480"/>
      <c r="W726" s="480"/>
      <c r="X726" s="481"/>
      <c r="Y726" s="481"/>
      <c r="Z726" s="481"/>
      <c r="AA726" s="586" t="s">
        <v>1135</v>
      </c>
      <c r="AB726" s="585"/>
      <c r="AC726" s="401">
        <f t="shared" si="3353"/>
        <v>31686</v>
      </c>
      <c r="AD726" s="74"/>
      <c r="AE726" s="267"/>
      <c r="AF726" s="267"/>
      <c r="AG726" s="267"/>
      <c r="AH726" s="482" t="s">
        <v>1136</v>
      </c>
      <c r="AI726" s="472" t="s">
        <v>1137</v>
      </c>
      <c r="AJ726" s="472" t="s">
        <v>1138</v>
      </c>
      <c r="AK726" s="472">
        <v>1640</v>
      </c>
      <c r="AL726" s="483"/>
      <c r="AM726" s="474"/>
      <c r="AN726" s="474"/>
      <c r="AO726" s="474"/>
      <c r="AP726" s="339"/>
      <c r="AQ726" s="339"/>
      <c r="AR726" s="339"/>
      <c r="AS726" s="339"/>
      <c r="AT726" s="339"/>
      <c r="AU726" s="339"/>
      <c r="AV726" s="339"/>
      <c r="AW726" s="339"/>
      <c r="AX726" s="339"/>
      <c r="AY726" s="339"/>
      <c r="AZ726" s="339"/>
      <c r="BA726" s="339"/>
      <c r="BB726" s="339"/>
      <c r="BC726" s="339"/>
      <c r="BD726" s="339"/>
      <c r="BE726" s="339"/>
      <c r="BF726" s="339"/>
      <c r="BG726" s="339"/>
      <c r="BH726" s="339"/>
      <c r="BI726" s="339"/>
      <c r="BJ726" s="339"/>
      <c r="BK726" s="339"/>
      <c r="BL726" s="339"/>
      <c r="BM726" s="339"/>
      <c r="BN726" s="436"/>
      <c r="BO726" s="339"/>
      <c r="BP726" s="436"/>
      <c r="BQ726" s="339"/>
      <c r="BR726" s="339"/>
      <c r="BS726" s="436"/>
      <c r="BT726" s="436"/>
      <c r="BU726" s="339" t="str">
        <f t="shared" si="3347"/>
        <v/>
      </c>
      <c r="BV726" s="339" t="str">
        <f t="shared" si="3337"/>
        <v/>
      </c>
      <c r="BW726" s="436"/>
      <c r="BX726" s="1"/>
      <c r="BY726" s="1"/>
      <c r="BZ726" s="1"/>
      <c r="CA726" s="1"/>
      <c r="CB726" s="1"/>
      <c r="CC726" s="1"/>
      <c r="CD726" s="1"/>
      <c r="CE726" s="1"/>
      <c r="CF726" s="1"/>
      <c r="CG726" s="1"/>
    </row>
    <row r="727" spans="1:85" ht="15.75" customHeight="1">
      <c r="A727" s="475"/>
      <c r="B727" s="419"/>
      <c r="C727" s="451"/>
      <c r="D727" s="476" t="s">
        <v>1139</v>
      </c>
      <c r="E727" s="477"/>
      <c r="F727" s="478"/>
      <c r="G727" s="478">
        <f>P720</f>
        <v>3248841.5700000003</v>
      </c>
      <c r="H727" s="484"/>
      <c r="I727" s="479">
        <f>G727/L719</f>
        <v>0.84207261360399277</v>
      </c>
      <c r="J727" s="485"/>
      <c r="K727" s="584" t="s">
        <v>1140</v>
      </c>
      <c r="L727" s="585"/>
      <c r="M727" s="464">
        <f>SUM(AY718:BD718)+SUM(AY720:BD720)</f>
        <v>371189.4</v>
      </c>
      <c r="N727" s="465">
        <f t="shared" si="3351"/>
        <v>3.9316083260144838E-2</v>
      </c>
      <c r="O727" s="81">
        <f>N263+N266+N670+N685</f>
        <v>371189.4</v>
      </c>
      <c r="P727" s="39">
        <f t="shared" si="3352"/>
        <v>4.2348482926437475E-2</v>
      </c>
      <c r="Q727" s="339"/>
      <c r="R727" s="339"/>
      <c r="S727" s="339"/>
      <c r="T727" s="339"/>
      <c r="U727" s="480"/>
      <c r="V727" s="480"/>
      <c r="W727" s="480"/>
      <c r="X727" s="481"/>
      <c r="Y727" s="481"/>
      <c r="Z727" s="481"/>
      <c r="AA727" s="586" t="s">
        <v>1141</v>
      </c>
      <c r="AB727" s="585"/>
      <c r="AC727" s="401">
        <f>K711+K713</f>
        <v>764157.25</v>
      </c>
      <c r="AD727" s="486" t="s">
        <v>1142</v>
      </c>
      <c r="AE727" s="267"/>
      <c r="AF727" s="267"/>
      <c r="AG727" s="387">
        <v>33000</v>
      </c>
      <c r="AH727" s="482"/>
      <c r="AI727" s="474"/>
      <c r="AJ727" s="474"/>
      <c r="AK727" s="472"/>
      <c r="AL727" s="482"/>
      <c r="AM727" s="474"/>
      <c r="AN727" s="474"/>
      <c r="AO727" s="472"/>
      <c r="AP727" s="339"/>
      <c r="AQ727" s="339"/>
      <c r="AR727" s="339"/>
      <c r="AS727" s="339"/>
      <c r="AT727" s="339"/>
      <c r="AU727" s="339"/>
      <c r="AV727" s="339"/>
      <c r="AW727" s="339"/>
      <c r="AX727" s="339"/>
      <c r="AY727" s="339"/>
      <c r="AZ727" s="339"/>
      <c r="BA727" s="339"/>
      <c r="BB727" s="339"/>
      <c r="BC727" s="339"/>
      <c r="BD727" s="339"/>
      <c r="BE727" s="339"/>
      <c r="BF727" s="339"/>
      <c r="BG727" s="339"/>
      <c r="BH727" s="339"/>
      <c r="BI727" s="339"/>
      <c r="BJ727" s="339"/>
      <c r="BK727" s="339"/>
      <c r="BL727" s="339"/>
      <c r="BM727" s="339"/>
      <c r="BN727" s="436"/>
      <c r="BO727" s="339"/>
      <c r="BP727" s="436"/>
      <c r="BQ727" s="339"/>
      <c r="BR727" s="339"/>
      <c r="BS727" s="436"/>
      <c r="BT727" s="436"/>
      <c r="BU727" s="339" t="str">
        <f t="shared" si="3347"/>
        <v/>
      </c>
      <c r="BV727" s="339" t="str">
        <f t="shared" si="3337"/>
        <v/>
      </c>
      <c r="BW727" s="436"/>
      <c r="BX727" s="1"/>
      <c r="BY727" s="1"/>
      <c r="BZ727" s="1"/>
      <c r="CA727" s="1"/>
      <c r="CB727" s="1"/>
      <c r="CC727" s="1"/>
      <c r="CD727" s="1"/>
      <c r="CE727" s="1"/>
      <c r="CF727" s="1"/>
      <c r="CG727" s="1"/>
    </row>
    <row r="728" spans="1:85" ht="15.75" customHeight="1">
      <c r="A728" s="475"/>
      <c r="B728" s="419"/>
      <c r="C728" s="451"/>
      <c r="D728" s="476" t="s">
        <v>1143</v>
      </c>
      <c r="E728" s="477"/>
      <c r="F728" s="478"/>
      <c r="G728" s="478">
        <f>M719</f>
        <v>138678.68</v>
      </c>
      <c r="H728" s="484"/>
      <c r="I728" s="479">
        <f>G728/L719</f>
        <v>3.5944356165927706E-2</v>
      </c>
      <c r="J728" s="485"/>
      <c r="K728" s="615" t="s">
        <v>1144</v>
      </c>
      <c r="L728" s="585"/>
      <c r="M728" s="433">
        <f>SUM(M723:M727)</f>
        <v>9441159.1700000018</v>
      </c>
      <c r="N728" s="487">
        <f t="shared" si="3351"/>
        <v>1</v>
      </c>
      <c r="O728" s="433">
        <f>SUM(O723:O727)</f>
        <v>8765116.8200000003</v>
      </c>
      <c r="P728" s="488">
        <f t="shared" si="3352"/>
        <v>1</v>
      </c>
      <c r="Q728" s="339"/>
      <c r="R728" s="339"/>
      <c r="S728" s="339"/>
      <c r="T728" s="339"/>
      <c r="U728" s="480"/>
      <c r="V728" s="480"/>
      <c r="W728" s="480"/>
      <c r="X728" s="481"/>
      <c r="Y728" s="481"/>
      <c r="Z728" s="481"/>
      <c r="AA728" s="586" t="s">
        <v>1145</v>
      </c>
      <c r="AB728" s="585"/>
      <c r="AC728" s="401">
        <f>K712</f>
        <v>94120.48</v>
      </c>
      <c r="AD728" s="486" t="s">
        <v>1142</v>
      </c>
      <c r="AE728" s="267"/>
      <c r="AF728" s="267"/>
      <c r="AG728" s="387">
        <v>57204.67</v>
      </c>
      <c r="AH728" s="482"/>
      <c r="AI728" s="474"/>
      <c r="AJ728" s="474"/>
      <c r="AK728" s="472"/>
      <c r="AL728" s="482"/>
      <c r="AM728" s="474"/>
      <c r="AN728" s="474"/>
      <c r="AO728" s="472"/>
      <c r="AP728" s="339"/>
      <c r="AQ728" s="339"/>
      <c r="AR728" s="339"/>
      <c r="AS728" s="339"/>
      <c r="AT728" s="339"/>
      <c r="AU728" s="339"/>
      <c r="AV728" s="339"/>
      <c r="AW728" s="339"/>
      <c r="AX728" s="339"/>
      <c r="AY728" s="339"/>
      <c r="AZ728" s="339"/>
      <c r="BA728" s="339"/>
      <c r="BB728" s="339"/>
      <c r="BC728" s="339"/>
      <c r="BD728" s="339"/>
      <c r="BE728" s="339"/>
      <c r="BF728" s="339"/>
      <c r="BG728" s="339"/>
      <c r="BH728" s="339"/>
      <c r="BI728" s="339"/>
      <c r="BJ728" s="339"/>
      <c r="BK728" s="339"/>
      <c r="BL728" s="339"/>
      <c r="BM728" s="339"/>
      <c r="BN728" s="436"/>
      <c r="BO728" s="339"/>
      <c r="BP728" s="436"/>
      <c r="BQ728" s="339"/>
      <c r="BR728" s="339"/>
      <c r="BS728" s="436"/>
      <c r="BT728" s="436"/>
      <c r="BU728" s="339" t="str">
        <f t="shared" si="3347"/>
        <v/>
      </c>
      <c r="BV728" s="339" t="str">
        <f t="shared" si="3337"/>
        <v/>
      </c>
      <c r="BW728" s="436"/>
      <c r="BX728" s="1"/>
      <c r="BY728" s="1"/>
      <c r="BZ728" s="1"/>
      <c r="CA728" s="1"/>
      <c r="CB728" s="1"/>
      <c r="CC728" s="1"/>
      <c r="CD728" s="1"/>
      <c r="CE728" s="1"/>
      <c r="CF728" s="1"/>
      <c r="CG728" s="1"/>
    </row>
    <row r="729" spans="1:85" ht="15.75" customHeight="1">
      <c r="A729" s="489"/>
      <c r="B729" s="490"/>
      <c r="C729" s="491"/>
      <c r="D729" s="492"/>
      <c r="E729" s="480">
        <f>4628865.2-E717</f>
        <v>0</v>
      </c>
      <c r="F729" s="339"/>
      <c r="G729" s="339"/>
      <c r="H729" s="480"/>
      <c r="I729" s="493"/>
      <c r="J729" s="493"/>
      <c r="K729" s="480"/>
      <c r="L729" s="494"/>
      <c r="M729" s="339"/>
      <c r="N729" s="480"/>
      <c r="O729" s="339">
        <f>K3+N3-O728</f>
        <v>0</v>
      </c>
      <c r="P729" s="339"/>
      <c r="Q729" s="339"/>
      <c r="R729" s="339"/>
      <c r="S729" s="339"/>
      <c r="T729" s="339"/>
      <c r="U729" s="480"/>
      <c r="V729" s="480"/>
      <c r="W729" s="480"/>
      <c r="X729" s="481"/>
      <c r="Y729" s="481"/>
      <c r="Z729" s="481"/>
      <c r="AA729" s="586" t="s">
        <v>1146</v>
      </c>
      <c r="AB729" s="585"/>
      <c r="AC729" s="401">
        <f>K714</f>
        <v>46289</v>
      </c>
      <c r="AD729" s="74"/>
      <c r="AE729" s="267"/>
      <c r="AF729" s="267"/>
      <c r="AG729" s="267"/>
      <c r="AH729" s="483"/>
      <c r="AI729" s="474"/>
      <c r="AJ729" s="474"/>
      <c r="AK729" s="474"/>
      <c r="AL729" s="483"/>
      <c r="AM729" s="474"/>
      <c r="AN729" s="474"/>
      <c r="AO729" s="474"/>
      <c r="AP729" s="339"/>
      <c r="AQ729" s="339"/>
      <c r="AR729" s="339"/>
      <c r="AS729" s="339"/>
      <c r="AT729" s="339"/>
      <c r="AU729" s="339"/>
      <c r="AV729" s="339"/>
      <c r="AW729" s="339"/>
      <c r="AX729" s="339"/>
      <c r="AY729" s="339"/>
      <c r="AZ729" s="339"/>
      <c r="BA729" s="339"/>
      <c r="BB729" s="339"/>
      <c r="BC729" s="339"/>
      <c r="BD729" s="339"/>
      <c r="BE729" s="339"/>
      <c r="BF729" s="339"/>
      <c r="BG729" s="339"/>
      <c r="BH729" s="339"/>
      <c r="BI729" s="339"/>
      <c r="BJ729" s="339"/>
      <c r="BK729" s="339"/>
      <c r="BL729" s="339"/>
      <c r="BM729" s="339"/>
      <c r="BN729" s="436"/>
      <c r="BO729" s="339"/>
      <c r="BP729" s="436"/>
      <c r="BQ729" s="339"/>
      <c r="BR729" s="339"/>
      <c r="BS729" s="436"/>
      <c r="BT729" s="436"/>
      <c r="BU729" s="339" t="str">
        <f t="shared" si="3347"/>
        <v/>
      </c>
      <c r="BV729" s="339" t="str">
        <f t="shared" si="3337"/>
        <v/>
      </c>
      <c r="BW729" s="436"/>
      <c r="BX729" s="1"/>
      <c r="BY729" s="1"/>
      <c r="BZ729" s="1"/>
      <c r="CA729" s="1"/>
      <c r="CB729" s="1"/>
      <c r="CC729" s="1"/>
      <c r="CD729" s="1"/>
      <c r="CE729" s="1"/>
      <c r="CF729" s="1"/>
      <c r="CG729" s="1"/>
    </row>
    <row r="730" spans="1:85" ht="15.75" customHeight="1">
      <c r="A730" s="489"/>
      <c r="B730" s="490"/>
      <c r="C730" s="491"/>
      <c r="D730" s="492"/>
      <c r="E730" s="480"/>
      <c r="F730" s="339"/>
      <c r="G730" s="339"/>
      <c r="H730" s="480"/>
      <c r="I730" s="493"/>
      <c r="J730" s="493"/>
      <c r="K730" s="480"/>
      <c r="L730" s="494"/>
      <c r="M730" s="339"/>
      <c r="N730" s="480"/>
      <c r="O730" s="495"/>
      <c r="P730" s="339"/>
      <c r="Q730" s="339"/>
      <c r="R730" s="339"/>
      <c r="S730" s="339"/>
      <c r="T730" s="339"/>
      <c r="U730" s="480"/>
      <c r="V730" s="480"/>
      <c r="W730" s="480"/>
      <c r="X730" s="481"/>
      <c r="Y730" s="481"/>
      <c r="Z730" s="481"/>
      <c r="AA730" s="616" t="s">
        <v>114</v>
      </c>
      <c r="AB730" s="585"/>
      <c r="AC730" s="459">
        <f>SUM(AC724:AC729)</f>
        <v>996924.26</v>
      </c>
      <c r="AD730" s="616" t="s">
        <v>114</v>
      </c>
      <c r="AE730" s="588"/>
      <c r="AF730" s="585"/>
      <c r="AG730" s="459">
        <f>SUM(AG724:AG729)</f>
        <v>95435.65</v>
      </c>
      <c r="AH730" s="597" t="s">
        <v>114</v>
      </c>
      <c r="AI730" s="588"/>
      <c r="AJ730" s="585"/>
      <c r="AK730" s="459">
        <f>SUM(AK724:AK729)</f>
        <v>2881.36</v>
      </c>
      <c r="AL730" s="597" t="s">
        <v>114</v>
      </c>
      <c r="AM730" s="588"/>
      <c r="AN730" s="585"/>
      <c r="AO730" s="459">
        <f>SUM(AO724:AO729)</f>
        <v>32838</v>
      </c>
      <c r="AP730" s="339"/>
      <c r="AQ730" s="339"/>
      <c r="AR730" s="339"/>
      <c r="AS730" s="339"/>
      <c r="AT730" s="339"/>
      <c r="AU730" s="339"/>
      <c r="AV730" s="339"/>
      <c r="AW730" s="339"/>
      <c r="AX730" s="339"/>
      <c r="AY730" s="339"/>
      <c r="AZ730" s="339"/>
      <c r="BA730" s="339"/>
      <c r="BB730" s="339"/>
      <c r="BC730" s="339"/>
      <c r="BD730" s="339"/>
      <c r="BE730" s="339"/>
      <c r="BF730" s="339"/>
      <c r="BG730" s="339"/>
      <c r="BH730" s="339"/>
      <c r="BI730" s="339"/>
      <c r="BJ730" s="339"/>
      <c r="BK730" s="339"/>
      <c r="BL730" s="339"/>
      <c r="BM730" s="339"/>
      <c r="BN730" s="436"/>
      <c r="BO730" s="339"/>
      <c r="BP730" s="436"/>
      <c r="BQ730" s="339"/>
      <c r="BR730" s="339"/>
      <c r="BS730" s="436"/>
      <c r="BT730" s="436"/>
      <c r="BU730" s="339"/>
      <c r="BV730" s="339"/>
      <c r="BW730" s="436"/>
      <c r="BX730" s="1"/>
      <c r="BY730" s="1"/>
      <c r="BZ730" s="1"/>
      <c r="CA730" s="1"/>
      <c r="CB730" s="1"/>
      <c r="CC730" s="1"/>
      <c r="CD730" s="1"/>
      <c r="CE730" s="1"/>
      <c r="CF730" s="1"/>
      <c r="CG730" s="1"/>
    </row>
    <row r="731" spans="1:85" ht="15.75" customHeight="1">
      <c r="A731" s="489"/>
      <c r="B731" s="490"/>
      <c r="C731" s="496"/>
      <c r="D731" s="497"/>
      <c r="E731" s="480"/>
      <c r="F731" s="339"/>
      <c r="G731" s="339"/>
      <c r="H731" s="480"/>
      <c r="I731" s="493"/>
      <c r="J731" s="493"/>
      <c r="K731" s="480"/>
      <c r="L731" s="494"/>
      <c r="M731" s="339"/>
      <c r="N731" s="480"/>
      <c r="O731" s="339"/>
      <c r="P731" s="339"/>
      <c r="Q731" s="339"/>
      <c r="R731" s="339"/>
      <c r="S731" s="339"/>
      <c r="T731" s="339"/>
      <c r="U731" s="480"/>
      <c r="V731" s="480"/>
      <c r="W731" s="480"/>
      <c r="X731" s="481"/>
      <c r="Y731" s="481"/>
      <c r="Z731" s="481"/>
      <c r="AA731" s="614" t="s">
        <v>1147</v>
      </c>
      <c r="AB731" s="588"/>
      <c r="AC731" s="588"/>
      <c r="AD731" s="588"/>
      <c r="AE731" s="588"/>
      <c r="AF731" s="585"/>
      <c r="AG731" s="498">
        <f>AC730-AG730</f>
        <v>901488.61</v>
      </c>
      <c r="AH731" s="499"/>
      <c r="AI731" s="339"/>
      <c r="AJ731" s="339"/>
      <c r="AK731" s="339"/>
      <c r="AL731" s="339"/>
      <c r="AM731" s="339"/>
      <c r="AN731" s="339"/>
      <c r="AO731" s="339"/>
      <c r="AP731" s="339"/>
      <c r="AQ731" s="339"/>
      <c r="AR731" s="339"/>
      <c r="AS731" s="339"/>
      <c r="AT731" s="339"/>
      <c r="AU731" s="339"/>
      <c r="AV731" s="339"/>
      <c r="AW731" s="339"/>
      <c r="AX731" s="339"/>
      <c r="AY731" s="339"/>
      <c r="AZ731" s="339"/>
      <c r="BA731" s="339"/>
      <c r="BB731" s="339"/>
      <c r="BC731" s="339"/>
      <c r="BD731" s="339"/>
      <c r="BE731" s="339"/>
      <c r="BF731" s="339"/>
      <c r="BG731" s="339"/>
      <c r="BH731" s="339"/>
      <c r="BI731" s="339"/>
      <c r="BJ731" s="339"/>
      <c r="BK731" s="339"/>
      <c r="BL731" s="339"/>
      <c r="BM731" s="339"/>
      <c r="BN731" s="436"/>
      <c r="BO731" s="339"/>
      <c r="BP731" s="436"/>
      <c r="BQ731" s="339"/>
      <c r="BR731" s="339"/>
      <c r="BS731" s="436"/>
      <c r="BT731" s="436"/>
      <c r="BU731" s="339"/>
      <c r="BV731" s="339"/>
      <c r="BW731" s="436"/>
      <c r="BX731" s="1"/>
      <c r="BY731" s="1"/>
      <c r="BZ731" s="1"/>
      <c r="CA731" s="1"/>
      <c r="CB731" s="1"/>
      <c r="CC731" s="1"/>
      <c r="CD731" s="1"/>
      <c r="CE731" s="1"/>
      <c r="CF731" s="1"/>
      <c r="CG731" s="1"/>
    </row>
    <row r="732" spans="1:85" ht="15.75" customHeight="1">
      <c r="A732" s="500"/>
      <c r="B732" s="216"/>
      <c r="C732" s="501"/>
      <c r="E732" s="502"/>
      <c r="F732" s="436"/>
      <c r="G732" s="436"/>
      <c r="H732" s="503"/>
      <c r="I732" s="504"/>
      <c r="J732" s="504"/>
      <c r="K732" s="503"/>
      <c r="L732" s="505"/>
      <c r="M732" s="436"/>
      <c r="N732" s="503"/>
      <c r="O732" s="436"/>
      <c r="P732" s="436"/>
      <c r="Q732" s="436"/>
      <c r="R732" s="436"/>
      <c r="S732" s="436"/>
      <c r="T732" s="436"/>
      <c r="U732" s="503"/>
      <c r="V732" s="503"/>
      <c r="W732" s="503"/>
      <c r="X732" s="506"/>
      <c r="Y732" s="506"/>
      <c r="Z732" s="506"/>
      <c r="AA732" s="436"/>
      <c r="AB732" s="436"/>
      <c r="AC732" s="436"/>
      <c r="AD732" s="436"/>
      <c r="AE732" s="507"/>
      <c r="AF732" s="507"/>
      <c r="AG732" s="507"/>
      <c r="AH732" s="508"/>
      <c r="AI732" s="436"/>
      <c r="AJ732" s="436"/>
      <c r="AK732" s="436"/>
      <c r="AL732" s="436"/>
      <c r="AM732" s="436"/>
      <c r="AN732" s="436"/>
      <c r="AO732" s="436"/>
      <c r="AP732" s="436"/>
      <c r="AQ732" s="436"/>
      <c r="AR732" s="436"/>
      <c r="AS732" s="436"/>
      <c r="AT732" s="436"/>
      <c r="AU732" s="436"/>
      <c r="AV732" s="436"/>
      <c r="AW732" s="436"/>
      <c r="AX732" s="436"/>
      <c r="AY732" s="436"/>
      <c r="AZ732" s="436"/>
      <c r="BA732" s="436"/>
      <c r="BB732" s="436"/>
      <c r="BC732" s="436"/>
      <c r="BD732" s="436"/>
      <c r="BE732" s="436"/>
      <c r="BF732" s="436"/>
      <c r="BG732" s="436"/>
      <c r="BH732" s="436"/>
      <c r="BI732" s="436"/>
      <c r="BJ732" s="436"/>
      <c r="BK732" s="436"/>
      <c r="BL732" s="436"/>
      <c r="BM732" s="436"/>
      <c r="BN732" s="436"/>
      <c r="BO732" s="339"/>
      <c r="BP732" s="436"/>
      <c r="BQ732" s="436"/>
      <c r="BR732" s="436"/>
      <c r="BS732" s="436"/>
      <c r="BT732" s="436"/>
      <c r="BU732" s="436"/>
      <c r="BV732" s="436"/>
      <c r="BW732" s="436"/>
      <c r="BX732" s="1"/>
      <c r="BY732" s="1"/>
      <c r="BZ732" s="1"/>
      <c r="CA732" s="1"/>
      <c r="CB732" s="1"/>
      <c r="CC732" s="1"/>
      <c r="CD732" s="1"/>
      <c r="CE732" s="1"/>
      <c r="CF732" s="1"/>
      <c r="CG732" s="1"/>
    </row>
    <row r="733" spans="1:85" ht="15.75" customHeight="1">
      <c r="A733" s="500"/>
      <c r="B733" s="216"/>
      <c r="C733" s="501"/>
      <c r="E733" s="502"/>
      <c r="F733" s="436"/>
      <c r="G733" s="436"/>
      <c r="H733" s="503"/>
      <c r="I733" s="504"/>
      <c r="J733" s="504"/>
      <c r="K733" s="503"/>
      <c r="L733" s="505"/>
      <c r="M733" s="436"/>
      <c r="N733" s="503"/>
      <c r="O733" s="436"/>
      <c r="P733" s="436"/>
      <c r="Q733" s="436"/>
      <c r="R733" s="436"/>
      <c r="S733" s="436"/>
      <c r="T733" s="436"/>
      <c r="U733" s="503"/>
      <c r="V733" s="503"/>
      <c r="W733" s="503"/>
      <c r="X733" s="506"/>
      <c r="Y733" s="506"/>
      <c r="Z733" s="506"/>
      <c r="AA733" s="436"/>
      <c r="AB733" s="436"/>
      <c r="AC733" s="436"/>
      <c r="AD733" s="436"/>
      <c r="AE733" s="509"/>
      <c r="AF733" s="509"/>
      <c r="AG733" s="509"/>
      <c r="AH733" s="509"/>
      <c r="AI733" s="436"/>
      <c r="AJ733" s="436"/>
      <c r="AK733" s="436"/>
      <c r="AL733" s="436"/>
      <c r="AM733" s="436"/>
      <c r="AN733" s="436"/>
      <c r="AO733" s="436"/>
      <c r="AP733" s="436"/>
      <c r="AQ733" s="436"/>
      <c r="AR733" s="436"/>
      <c r="AS733" s="436"/>
      <c r="AT733" s="436"/>
      <c r="AU733" s="436"/>
      <c r="AV733" s="436"/>
      <c r="AW733" s="436"/>
      <c r="AX733" s="436"/>
      <c r="AY733" s="436"/>
      <c r="AZ733" s="436"/>
      <c r="BA733" s="436"/>
      <c r="BB733" s="436"/>
      <c r="BC733" s="436"/>
      <c r="BD733" s="436"/>
      <c r="BE733" s="436"/>
      <c r="BF733" s="436"/>
      <c r="BG733" s="436"/>
      <c r="BH733" s="436"/>
      <c r="BI733" s="436"/>
      <c r="BJ733" s="436"/>
      <c r="BK733" s="436"/>
      <c r="BL733" s="436"/>
      <c r="BM733" s="436"/>
      <c r="BN733" s="436"/>
      <c r="BO733" s="339"/>
      <c r="BP733" s="436"/>
      <c r="BQ733" s="436"/>
      <c r="BR733" s="436"/>
      <c r="BS733" s="436"/>
      <c r="BT733" s="436"/>
      <c r="BU733" s="436"/>
      <c r="BV733" s="436"/>
      <c r="BW733" s="436"/>
      <c r="BX733" s="1"/>
      <c r="BY733" s="1"/>
      <c r="BZ733" s="1"/>
      <c r="CA733" s="1"/>
      <c r="CB733" s="1"/>
      <c r="CC733" s="1"/>
      <c r="CD733" s="1"/>
      <c r="CE733" s="1"/>
      <c r="CF733" s="1"/>
      <c r="CG733" s="1"/>
    </row>
    <row r="734" spans="1:85" ht="15.75" customHeight="1">
      <c r="A734" s="510"/>
      <c r="B734" s="511"/>
      <c r="C734" s="512"/>
      <c r="D734" s="513" t="s">
        <v>1148</v>
      </c>
      <c r="E734" s="514">
        <f t="shared" ref="E734:H734" si="3355">E3-E735</f>
        <v>0</v>
      </c>
      <c r="F734" s="514">
        <f t="shared" si="3355"/>
        <v>0</v>
      </c>
      <c r="G734" s="514">
        <f t="shared" si="3355"/>
        <v>0</v>
      </c>
      <c r="H734" s="514">
        <f t="shared" si="3355"/>
        <v>0</v>
      </c>
      <c r="I734" s="515"/>
      <c r="J734" s="515"/>
      <c r="K734" s="516">
        <f t="shared" ref="K734:W734" si="3356">K3-K735</f>
        <v>0</v>
      </c>
      <c r="L734" s="514">
        <f t="shared" si="3356"/>
        <v>0</v>
      </c>
      <c r="M734" s="514">
        <f t="shared" si="3356"/>
        <v>0</v>
      </c>
      <c r="N734" s="517">
        <f t="shared" si="3356"/>
        <v>0</v>
      </c>
      <c r="O734" s="514">
        <f t="shared" si="3356"/>
        <v>0</v>
      </c>
      <c r="P734" s="514">
        <f t="shared" si="3356"/>
        <v>0</v>
      </c>
      <c r="Q734" s="514">
        <f t="shared" si="3356"/>
        <v>0</v>
      </c>
      <c r="R734" s="514">
        <f t="shared" si="3356"/>
        <v>0</v>
      </c>
      <c r="S734" s="514">
        <f t="shared" si="3356"/>
        <v>0</v>
      </c>
      <c r="T734" s="514">
        <f t="shared" si="3356"/>
        <v>0</v>
      </c>
      <c r="U734" s="514">
        <f t="shared" si="3356"/>
        <v>0</v>
      </c>
      <c r="V734" s="514">
        <f t="shared" si="3356"/>
        <v>0</v>
      </c>
      <c r="W734" s="514">
        <f t="shared" si="3356"/>
        <v>0</v>
      </c>
      <c r="X734" s="288">
        <f t="shared" ref="X734:Y734" si="3357">IF(O734&gt;0,O734/K734,0)</f>
        <v>0</v>
      </c>
      <c r="Y734" s="288">
        <f t="shared" si="3357"/>
        <v>0</v>
      </c>
      <c r="Z734" s="288">
        <f t="shared" ref="Z734:Z743" si="3358">IF(Q734&gt;0,Q734/N734,0)</f>
        <v>0</v>
      </c>
      <c r="AA734" s="514">
        <f t="shared" ref="AA734:BW734" si="3359">AA3-AA735</f>
        <v>0</v>
      </c>
      <c r="AB734" s="514">
        <f t="shared" si="3359"/>
        <v>0</v>
      </c>
      <c r="AC734" s="514">
        <f t="shared" si="3359"/>
        <v>0</v>
      </c>
      <c r="AD734" s="514">
        <f t="shared" si="3359"/>
        <v>0</v>
      </c>
      <c r="AE734" s="514">
        <f t="shared" si="3359"/>
        <v>0</v>
      </c>
      <c r="AF734" s="514">
        <f t="shared" si="3359"/>
        <v>0</v>
      </c>
      <c r="AG734" s="514">
        <f t="shared" si="3359"/>
        <v>0</v>
      </c>
      <c r="AH734" s="514">
        <f t="shared" si="3359"/>
        <v>0</v>
      </c>
      <c r="AI734" s="514">
        <f t="shared" si="3359"/>
        <v>0</v>
      </c>
      <c r="AJ734" s="514">
        <f t="shared" si="3359"/>
        <v>0</v>
      </c>
      <c r="AK734" s="514">
        <f t="shared" si="3359"/>
        <v>0</v>
      </c>
      <c r="AL734" s="514">
        <f t="shared" si="3359"/>
        <v>0</v>
      </c>
      <c r="AM734" s="514">
        <f t="shared" si="3359"/>
        <v>0</v>
      </c>
      <c r="AN734" s="514">
        <f t="shared" si="3359"/>
        <v>0</v>
      </c>
      <c r="AO734" s="514">
        <f t="shared" si="3359"/>
        <v>0</v>
      </c>
      <c r="AP734" s="514">
        <f t="shared" si="3359"/>
        <v>0</v>
      </c>
      <c r="AQ734" s="514">
        <f t="shared" si="3359"/>
        <v>0</v>
      </c>
      <c r="AR734" s="514">
        <f t="shared" si="3359"/>
        <v>0</v>
      </c>
      <c r="AS734" s="514">
        <f t="shared" si="3359"/>
        <v>0</v>
      </c>
      <c r="AT734" s="514">
        <f t="shared" si="3359"/>
        <v>0</v>
      </c>
      <c r="AU734" s="514">
        <f t="shared" si="3359"/>
        <v>0</v>
      </c>
      <c r="AV734" s="514">
        <f t="shared" si="3359"/>
        <v>0</v>
      </c>
      <c r="AW734" s="514">
        <f t="shared" si="3359"/>
        <v>0</v>
      </c>
      <c r="AX734" s="514">
        <f t="shared" si="3359"/>
        <v>0</v>
      </c>
      <c r="AY734" s="514">
        <f t="shared" si="3359"/>
        <v>0</v>
      </c>
      <c r="AZ734" s="514">
        <f t="shared" si="3359"/>
        <v>0</v>
      </c>
      <c r="BA734" s="514">
        <f t="shared" si="3359"/>
        <v>0</v>
      </c>
      <c r="BB734" s="514">
        <f t="shared" si="3359"/>
        <v>0</v>
      </c>
      <c r="BC734" s="514">
        <f t="shared" si="3359"/>
        <v>0</v>
      </c>
      <c r="BD734" s="514">
        <f t="shared" si="3359"/>
        <v>0</v>
      </c>
      <c r="BE734" s="514">
        <f t="shared" si="3359"/>
        <v>0</v>
      </c>
      <c r="BF734" s="514">
        <f t="shared" si="3359"/>
        <v>0</v>
      </c>
      <c r="BG734" s="514">
        <f t="shared" si="3359"/>
        <v>0</v>
      </c>
      <c r="BH734" s="514">
        <f t="shared" si="3359"/>
        <v>0</v>
      </c>
      <c r="BI734" s="514">
        <f t="shared" si="3359"/>
        <v>0</v>
      </c>
      <c r="BJ734" s="514">
        <f t="shared" si="3359"/>
        <v>0</v>
      </c>
      <c r="BK734" s="514">
        <f t="shared" si="3359"/>
        <v>0</v>
      </c>
      <c r="BL734" s="514">
        <f t="shared" si="3359"/>
        <v>0</v>
      </c>
      <c r="BM734" s="514">
        <f t="shared" si="3359"/>
        <v>0</v>
      </c>
      <c r="BN734" s="514">
        <f t="shared" si="3359"/>
        <v>0</v>
      </c>
      <c r="BO734" s="514">
        <f t="shared" si="3359"/>
        <v>0</v>
      </c>
      <c r="BP734" s="514">
        <f t="shared" si="3359"/>
        <v>0</v>
      </c>
      <c r="BQ734" s="514">
        <f t="shared" si="3359"/>
        <v>0</v>
      </c>
      <c r="BR734" s="514">
        <f t="shared" si="3359"/>
        <v>0</v>
      </c>
      <c r="BS734" s="514">
        <f t="shared" si="3359"/>
        <v>0</v>
      </c>
      <c r="BT734" s="514">
        <f t="shared" si="3359"/>
        <v>0</v>
      </c>
      <c r="BU734" s="514">
        <f t="shared" si="3359"/>
        <v>0</v>
      </c>
      <c r="BV734" s="514">
        <f t="shared" si="3359"/>
        <v>0</v>
      </c>
      <c r="BW734" s="514">
        <f t="shared" si="3359"/>
        <v>0</v>
      </c>
      <c r="BX734" s="1"/>
      <c r="BY734" s="1"/>
      <c r="BZ734" s="1"/>
      <c r="CA734" s="1"/>
      <c r="CB734" s="1"/>
      <c r="CC734" s="1"/>
      <c r="CD734" s="1"/>
      <c r="CE734" s="1"/>
      <c r="CF734" s="1"/>
      <c r="CG734" s="1"/>
    </row>
    <row r="735" spans="1:85" ht="31.5">
      <c r="A735" s="270"/>
      <c r="B735" s="271"/>
      <c r="C735" s="272"/>
      <c r="D735" s="112" t="s">
        <v>1149</v>
      </c>
      <c r="E735" s="362">
        <f t="shared" ref="E735:H735" si="3360">SUM(E736:E769)</f>
        <v>4628865.2</v>
      </c>
      <c r="F735" s="362">
        <f t="shared" si="3360"/>
        <v>504546.00000000006</v>
      </c>
      <c r="G735" s="362">
        <f t="shared" si="3360"/>
        <v>4124319.1999999997</v>
      </c>
      <c r="H735" s="362">
        <f t="shared" si="3360"/>
        <v>12739944.870000001</v>
      </c>
      <c r="I735" s="287"/>
      <c r="J735" s="287"/>
      <c r="K735" s="362">
        <f t="shared" ref="K735:W735" si="3361">SUM(K736:K769)</f>
        <v>4585961.1400000015</v>
      </c>
      <c r="L735" s="362">
        <f t="shared" si="3361"/>
        <v>3858148.9499999997</v>
      </c>
      <c r="M735" s="362">
        <f t="shared" si="3361"/>
        <v>138678.68</v>
      </c>
      <c r="N735" s="362">
        <f t="shared" si="3361"/>
        <v>4179155.6800000006</v>
      </c>
      <c r="O735" s="362">
        <f t="shared" si="3361"/>
        <v>4406058.54</v>
      </c>
      <c r="P735" s="362">
        <f t="shared" si="3361"/>
        <v>3248841.57</v>
      </c>
      <c r="Q735" s="362">
        <f t="shared" si="3361"/>
        <v>3291019.2199999997</v>
      </c>
      <c r="R735" s="362">
        <f t="shared" si="3361"/>
        <v>4335219.16</v>
      </c>
      <c r="S735" s="362">
        <f t="shared" si="3361"/>
        <v>3243652.57</v>
      </c>
      <c r="T735" s="362">
        <f t="shared" si="3361"/>
        <v>3195203.0600010999</v>
      </c>
      <c r="U735" s="362">
        <f t="shared" si="3361"/>
        <v>179902.59999999998</v>
      </c>
      <c r="V735" s="362">
        <f t="shared" si="3361"/>
        <v>475817.69999999995</v>
      </c>
      <c r="W735" s="362">
        <f t="shared" si="3361"/>
        <v>888136.46</v>
      </c>
      <c r="X735" s="288">
        <f t="shared" ref="X735:Y735" si="3362">IF(O735&gt;0,O735/K735,0)</f>
        <v>0.96077101516826169</v>
      </c>
      <c r="Y735" s="288">
        <f t="shared" si="3362"/>
        <v>0.84207261360399266</v>
      </c>
      <c r="Z735" s="288">
        <f t="shared" si="3358"/>
        <v>0.78748423652884814</v>
      </c>
      <c r="AA735" s="362">
        <f t="shared" ref="AA735:BW735" si="3363">SUM(AA736:AA769)</f>
        <v>117632.43</v>
      </c>
      <c r="AB735" s="362">
        <f t="shared" si="3363"/>
        <v>436924.12999999995</v>
      </c>
      <c r="AC735" s="362">
        <f t="shared" si="3363"/>
        <v>0</v>
      </c>
      <c r="AD735" s="362">
        <f t="shared" si="3363"/>
        <v>103253.87</v>
      </c>
      <c r="AE735" s="362">
        <f t="shared" si="3363"/>
        <v>376933.13</v>
      </c>
      <c r="AF735" s="362">
        <f t="shared" si="3363"/>
        <v>405.27</v>
      </c>
      <c r="AG735" s="362">
        <f t="shared" si="3363"/>
        <v>316244.54000000004</v>
      </c>
      <c r="AH735" s="362">
        <f t="shared" si="3363"/>
        <v>758963.84</v>
      </c>
      <c r="AI735" s="362">
        <f t="shared" si="3363"/>
        <v>106717.36</v>
      </c>
      <c r="AJ735" s="362">
        <f t="shared" si="3363"/>
        <v>270181.07000000007</v>
      </c>
      <c r="AK735" s="362">
        <f t="shared" si="3363"/>
        <v>327810.01999999996</v>
      </c>
      <c r="AL735" s="362">
        <f t="shared" si="3363"/>
        <v>203632.5</v>
      </c>
      <c r="AM735" s="362">
        <f t="shared" si="3363"/>
        <v>295124.74000000005</v>
      </c>
      <c r="AN735" s="362">
        <f t="shared" si="3363"/>
        <v>182392.25999999998</v>
      </c>
      <c r="AO735" s="362">
        <f t="shared" si="3363"/>
        <v>312364.14999999997</v>
      </c>
      <c r="AP735" s="362">
        <f t="shared" si="3363"/>
        <v>467301.53</v>
      </c>
      <c r="AQ735" s="362">
        <f t="shared" si="3363"/>
        <v>279783.14</v>
      </c>
      <c r="AR735" s="362">
        <f t="shared" si="3363"/>
        <v>271111.19000000006</v>
      </c>
      <c r="AS735" s="362">
        <f t="shared" si="3363"/>
        <v>305452.43000000005</v>
      </c>
      <c r="AT735" s="362">
        <f t="shared" si="3363"/>
        <v>81577.36</v>
      </c>
      <c r="AU735" s="362">
        <f t="shared" si="3363"/>
        <v>339689.57</v>
      </c>
      <c r="AV735" s="362">
        <f t="shared" si="3363"/>
        <v>531504.59000000008</v>
      </c>
      <c r="AW735" s="362">
        <f t="shared" si="3363"/>
        <v>324280.42000000004</v>
      </c>
      <c r="AX735" s="362">
        <f t="shared" si="3363"/>
        <v>367799.42000000004</v>
      </c>
      <c r="AY735" s="362">
        <f t="shared" si="3363"/>
        <v>744624.12000000011</v>
      </c>
      <c r="AZ735" s="362">
        <f t="shared" si="3363"/>
        <v>121224.07999999999</v>
      </c>
      <c r="BA735" s="362">
        <f t="shared" si="3363"/>
        <v>58502.679999999986</v>
      </c>
      <c r="BB735" s="362">
        <f t="shared" si="3363"/>
        <v>540098.30000000005</v>
      </c>
      <c r="BC735" s="362">
        <f t="shared" si="3363"/>
        <v>31899.69</v>
      </c>
      <c r="BD735" s="362">
        <f t="shared" si="3363"/>
        <v>303706.23999999999</v>
      </c>
      <c r="BE735" s="362">
        <f t="shared" si="3363"/>
        <v>353968.60000000009</v>
      </c>
      <c r="BF735" s="362">
        <f t="shared" si="3363"/>
        <v>20867.840000000004</v>
      </c>
      <c r="BG735" s="362">
        <f t="shared" si="3363"/>
        <v>660273.56000000006</v>
      </c>
      <c r="BH735" s="362">
        <f t="shared" si="3363"/>
        <v>360672.31999999995</v>
      </c>
      <c r="BI735" s="362">
        <f t="shared" si="3363"/>
        <v>306185.66000000003</v>
      </c>
      <c r="BJ735" s="362">
        <f t="shared" si="3363"/>
        <v>666817.28000000003</v>
      </c>
      <c r="BK735" s="362">
        <f t="shared" si="3363"/>
        <v>4335219.16</v>
      </c>
      <c r="BL735" s="362">
        <f t="shared" si="3363"/>
        <v>3218836.76</v>
      </c>
      <c r="BM735" s="362">
        <f t="shared" si="3363"/>
        <v>3195203.0600010999</v>
      </c>
      <c r="BN735" s="362">
        <f t="shared" si="3363"/>
        <v>70839.380000000034</v>
      </c>
      <c r="BO735" s="362">
        <f t="shared" si="3363"/>
        <v>95816.159998900126</v>
      </c>
      <c r="BP735" s="362">
        <f t="shared" si="3363"/>
        <v>166655.53999890017</v>
      </c>
      <c r="BQ735" s="362">
        <f t="shared" si="3363"/>
        <v>179902.59999999998</v>
      </c>
      <c r="BR735" s="362">
        <f t="shared" si="3363"/>
        <v>888136.46</v>
      </c>
      <c r="BS735" s="362">
        <f t="shared" si="3363"/>
        <v>1068039.06</v>
      </c>
      <c r="BT735" s="362">
        <f t="shared" si="3363"/>
        <v>475817.69999999995</v>
      </c>
      <c r="BU735" s="362">
        <f t="shared" si="3363"/>
        <v>166655.53999890017</v>
      </c>
      <c r="BV735" s="362">
        <f t="shared" si="3363"/>
        <v>1068039.06</v>
      </c>
      <c r="BW735" s="362">
        <f t="shared" si="3363"/>
        <v>1710512.2999988999</v>
      </c>
      <c r="BX735" s="1"/>
      <c r="BY735" s="1"/>
      <c r="BZ735" s="1"/>
      <c r="CA735" s="1"/>
      <c r="CB735" s="1"/>
      <c r="CC735" s="1"/>
      <c r="CD735" s="1"/>
      <c r="CE735" s="1"/>
      <c r="CF735" s="1"/>
      <c r="CG735" s="1"/>
    </row>
    <row r="736" spans="1:85" ht="15.75">
      <c r="A736" s="355"/>
      <c r="B736" s="356"/>
      <c r="C736" s="357"/>
      <c r="D736" s="57" t="s">
        <v>116</v>
      </c>
      <c r="E736" s="286">
        <f t="shared" ref="E736:H736" si="3364">E5+E11+E151+E168+E185+E196+E205+E247+E282+E331+E452+E462+E472+E515+E527+E541+E555+E577+E708</f>
        <v>148221.63</v>
      </c>
      <c r="F736" s="286">
        <f t="shared" si="3364"/>
        <v>3000</v>
      </c>
      <c r="G736" s="286">
        <f t="shared" si="3364"/>
        <v>145221.63</v>
      </c>
      <c r="H736" s="286">
        <f t="shared" si="3364"/>
        <v>0</v>
      </c>
      <c r="I736" s="287">
        <f t="shared" ref="I736:I743" si="3365">IF(G736&gt;0,K736/G736,0)</f>
        <v>0.42893596497987246</v>
      </c>
      <c r="J736" s="287">
        <f t="shared" ref="J736:J743" si="3366">IF(G736&gt;0,O736/G736,0)</f>
        <v>0.42893596497987246</v>
      </c>
      <c r="K736" s="286">
        <f t="shared" ref="K736:W736" si="3367">K5+K11+K151+K168+K185+K196+K205+K247+K282+K331+K452+K462+K472+K515+K527+K541+K555+K577+K708</f>
        <v>62290.78</v>
      </c>
      <c r="L736" s="286">
        <f t="shared" si="3367"/>
        <v>0</v>
      </c>
      <c r="M736" s="286">
        <f t="shared" si="3367"/>
        <v>0</v>
      </c>
      <c r="N736" s="286">
        <f t="shared" si="3367"/>
        <v>1918.9199999999998</v>
      </c>
      <c r="O736" s="286">
        <f t="shared" si="3367"/>
        <v>62290.78</v>
      </c>
      <c r="P736" s="286">
        <f t="shared" si="3367"/>
        <v>0</v>
      </c>
      <c r="Q736" s="286">
        <f t="shared" si="3367"/>
        <v>1918.92</v>
      </c>
      <c r="R736" s="286">
        <f t="shared" si="3367"/>
        <v>62290.78</v>
      </c>
      <c r="S736" s="286">
        <f t="shared" si="3367"/>
        <v>0</v>
      </c>
      <c r="T736" s="286">
        <f t="shared" si="3367"/>
        <v>1918.92</v>
      </c>
      <c r="U736" s="286">
        <f t="shared" si="3367"/>
        <v>0</v>
      </c>
      <c r="V736" s="286">
        <f t="shared" si="3367"/>
        <v>0</v>
      </c>
      <c r="W736" s="286">
        <f t="shared" si="3367"/>
        <v>0</v>
      </c>
      <c r="X736" s="288">
        <f t="shared" ref="X736:Y736" si="3368">IF(O736&gt;0,O736/K736,0)</f>
        <v>1</v>
      </c>
      <c r="Y736" s="288">
        <f t="shared" si="3368"/>
        <v>0</v>
      </c>
      <c r="Z736" s="288">
        <f t="shared" si="3358"/>
        <v>1.0000000000000002</v>
      </c>
      <c r="AA736" s="286">
        <f t="shared" ref="AA736:BW736" si="3369">AA5+AA11+AA151+AA168+AA185+AA196+AA205+AA247+AA282+AA331+AA452+AA462+AA472+AA515+AA527+AA541+AA555+AA577+AA708</f>
        <v>0</v>
      </c>
      <c r="AB736" s="286">
        <f t="shared" si="3369"/>
        <v>0</v>
      </c>
      <c r="AC736" s="286">
        <f t="shared" si="3369"/>
        <v>0</v>
      </c>
      <c r="AD736" s="286">
        <f t="shared" si="3369"/>
        <v>106.08</v>
      </c>
      <c r="AE736" s="286">
        <f t="shared" si="3369"/>
        <v>0</v>
      </c>
      <c r="AF736" s="286">
        <f t="shared" si="3369"/>
        <v>0</v>
      </c>
      <c r="AG736" s="286">
        <f t="shared" si="3369"/>
        <v>2708.55</v>
      </c>
      <c r="AH736" s="286">
        <f t="shared" si="3369"/>
        <v>0</v>
      </c>
      <c r="AI736" s="286">
        <f t="shared" si="3369"/>
        <v>0</v>
      </c>
      <c r="AJ736" s="286">
        <f t="shared" si="3369"/>
        <v>67.680000000000007</v>
      </c>
      <c r="AK736" s="286">
        <f t="shared" si="3369"/>
        <v>0</v>
      </c>
      <c r="AL736" s="286">
        <f t="shared" si="3369"/>
        <v>0</v>
      </c>
      <c r="AM736" s="286">
        <f t="shared" si="3369"/>
        <v>2189.79</v>
      </c>
      <c r="AN736" s="286">
        <f t="shared" si="3369"/>
        <v>0</v>
      </c>
      <c r="AO736" s="286">
        <f t="shared" si="3369"/>
        <v>0</v>
      </c>
      <c r="AP736" s="286">
        <f t="shared" si="3369"/>
        <v>6482.7300000000005</v>
      </c>
      <c r="AQ736" s="286">
        <f t="shared" si="3369"/>
        <v>0</v>
      </c>
      <c r="AR736" s="286">
        <f t="shared" si="3369"/>
        <v>0</v>
      </c>
      <c r="AS736" s="286">
        <f t="shared" si="3369"/>
        <v>4370.18</v>
      </c>
      <c r="AT736" s="286">
        <f t="shared" si="3369"/>
        <v>0</v>
      </c>
      <c r="AU736" s="286">
        <f t="shared" si="3369"/>
        <v>0</v>
      </c>
      <c r="AV736" s="286">
        <f t="shared" si="3369"/>
        <v>8282.369999999999</v>
      </c>
      <c r="AW736" s="286">
        <f t="shared" si="3369"/>
        <v>0</v>
      </c>
      <c r="AX736" s="286">
        <f t="shared" si="3369"/>
        <v>0</v>
      </c>
      <c r="AY736" s="286">
        <f t="shared" si="3369"/>
        <v>3162.9100000000003</v>
      </c>
      <c r="AZ736" s="286">
        <f t="shared" si="3369"/>
        <v>0</v>
      </c>
      <c r="BA736" s="286">
        <f t="shared" si="3369"/>
        <v>0</v>
      </c>
      <c r="BB736" s="286">
        <f t="shared" si="3369"/>
        <v>4496.8999999999996</v>
      </c>
      <c r="BC736" s="286">
        <f t="shared" si="3369"/>
        <v>0</v>
      </c>
      <c r="BD736" s="286">
        <f t="shared" si="3369"/>
        <v>0</v>
      </c>
      <c r="BE736" s="286">
        <f t="shared" si="3369"/>
        <v>30962.93</v>
      </c>
      <c r="BF736" s="286">
        <f t="shared" si="3369"/>
        <v>0</v>
      </c>
      <c r="BG736" s="286">
        <f t="shared" si="3369"/>
        <v>0</v>
      </c>
      <c r="BH736" s="286">
        <f t="shared" si="3369"/>
        <v>-539.33999999999992</v>
      </c>
      <c r="BI736" s="286">
        <f t="shared" si="3369"/>
        <v>0</v>
      </c>
      <c r="BJ736" s="286">
        <f t="shared" si="3369"/>
        <v>1918.92</v>
      </c>
      <c r="BK736" s="286">
        <f t="shared" si="3369"/>
        <v>62290.78</v>
      </c>
      <c r="BL736" s="286">
        <f t="shared" si="3369"/>
        <v>0</v>
      </c>
      <c r="BM736" s="286">
        <f t="shared" si="3369"/>
        <v>1918.92</v>
      </c>
      <c r="BN736" s="286">
        <f t="shared" si="3369"/>
        <v>2.2737367544323206E-13</v>
      </c>
      <c r="BO736" s="286">
        <f t="shared" si="3369"/>
        <v>0</v>
      </c>
      <c r="BP736" s="286">
        <f t="shared" si="3369"/>
        <v>2.2737367544323206E-13</v>
      </c>
      <c r="BQ736" s="286">
        <f t="shared" si="3369"/>
        <v>0</v>
      </c>
      <c r="BR736" s="286">
        <f t="shared" si="3369"/>
        <v>0</v>
      </c>
      <c r="BS736" s="286">
        <f t="shared" si="3369"/>
        <v>0</v>
      </c>
      <c r="BT736" s="286">
        <f t="shared" si="3369"/>
        <v>0</v>
      </c>
      <c r="BU736" s="286">
        <f t="shared" si="3369"/>
        <v>2.2737367544323206E-13</v>
      </c>
      <c r="BV736" s="286">
        <f t="shared" si="3369"/>
        <v>0</v>
      </c>
      <c r="BW736" s="286">
        <f t="shared" si="3369"/>
        <v>2.2737367544323206E-13</v>
      </c>
      <c r="BX736" s="1"/>
      <c r="BY736" s="1"/>
      <c r="BZ736" s="1"/>
      <c r="CA736" s="1"/>
      <c r="CB736" s="1"/>
      <c r="CC736" s="1"/>
      <c r="CD736" s="1"/>
      <c r="CE736" s="1"/>
      <c r="CF736" s="1"/>
      <c r="CG736" s="1"/>
    </row>
    <row r="737" spans="1:85" ht="15.75">
      <c r="A737" s="54"/>
      <c r="B737" s="55"/>
      <c r="C737" s="56"/>
      <c r="D737" s="57" t="s">
        <v>632</v>
      </c>
      <c r="E737" s="58">
        <f t="shared" ref="E737:H737" si="3370">E191+E193+E334+E359+E372+E498+E518+E533+E544+E579+E709+E710</f>
        <v>286477.3</v>
      </c>
      <c r="F737" s="58">
        <f t="shared" si="3370"/>
        <v>60476.079999999994</v>
      </c>
      <c r="G737" s="58">
        <f t="shared" si="3370"/>
        <v>226001.22000000003</v>
      </c>
      <c r="H737" s="58">
        <f t="shared" si="3370"/>
        <v>1700000</v>
      </c>
      <c r="I737" s="60">
        <f t="shared" si="3365"/>
        <v>0.97296819902122622</v>
      </c>
      <c r="J737" s="60">
        <f t="shared" si="3366"/>
        <v>0.97296819902122644</v>
      </c>
      <c r="K737" s="58">
        <f t="shared" ref="K737:W737" si="3371">K191+K193+K334+K359+K372+K498+K518+K533+K544+K579+K709+K710</f>
        <v>219891.99999999997</v>
      </c>
      <c r="L737" s="58">
        <f t="shared" si="3371"/>
        <v>0</v>
      </c>
      <c r="M737" s="58">
        <f t="shared" si="3371"/>
        <v>0</v>
      </c>
      <c r="N737" s="58">
        <f t="shared" si="3371"/>
        <v>752275</v>
      </c>
      <c r="O737" s="58">
        <f t="shared" si="3371"/>
        <v>219892</v>
      </c>
      <c r="P737" s="58">
        <f t="shared" si="3371"/>
        <v>0</v>
      </c>
      <c r="Q737" s="58">
        <f t="shared" si="3371"/>
        <v>752275</v>
      </c>
      <c r="R737" s="58">
        <f t="shared" si="3371"/>
        <v>219892</v>
      </c>
      <c r="S737" s="58">
        <f t="shared" si="3371"/>
        <v>0</v>
      </c>
      <c r="T737" s="58">
        <f t="shared" si="3371"/>
        <v>752275</v>
      </c>
      <c r="U737" s="58">
        <f t="shared" si="3371"/>
        <v>-2.9103830456733704E-11</v>
      </c>
      <c r="V737" s="58">
        <f t="shared" si="3371"/>
        <v>0</v>
      </c>
      <c r="W737" s="58">
        <f t="shared" si="3371"/>
        <v>0</v>
      </c>
      <c r="X737" s="63">
        <f t="shared" ref="X737:Y737" si="3372">IF(O737&gt;0,O737/K737,0)</f>
        <v>1.0000000000000002</v>
      </c>
      <c r="Y737" s="63">
        <f t="shared" si="3372"/>
        <v>0</v>
      </c>
      <c r="Z737" s="63">
        <f t="shared" si="3358"/>
        <v>1</v>
      </c>
      <c r="AA737" s="58">
        <f t="shared" ref="AA737:BW737" si="3373">AA191+AA193+AA334+AA359+AA372+AA498+AA518+AA533+AA544+AA579+AA709+AA710</f>
        <v>3800</v>
      </c>
      <c r="AB737" s="58">
        <f t="shared" si="3373"/>
        <v>0</v>
      </c>
      <c r="AC737" s="58">
        <f t="shared" si="3373"/>
        <v>0</v>
      </c>
      <c r="AD737" s="58">
        <f t="shared" si="3373"/>
        <v>3800</v>
      </c>
      <c r="AE737" s="58">
        <f t="shared" si="3373"/>
        <v>0</v>
      </c>
      <c r="AF737" s="58">
        <f t="shared" si="3373"/>
        <v>0</v>
      </c>
      <c r="AG737" s="58">
        <f t="shared" si="3373"/>
        <v>46356</v>
      </c>
      <c r="AH737" s="58">
        <f t="shared" si="3373"/>
        <v>0</v>
      </c>
      <c r="AI737" s="58">
        <f t="shared" si="3373"/>
        <v>6360</v>
      </c>
      <c r="AJ737" s="58">
        <f t="shared" si="3373"/>
        <v>35286</v>
      </c>
      <c r="AK737" s="58">
        <f t="shared" si="3373"/>
        <v>0</v>
      </c>
      <c r="AL737" s="58">
        <f t="shared" si="3373"/>
        <v>16040</v>
      </c>
      <c r="AM737" s="58">
        <f t="shared" si="3373"/>
        <v>7800</v>
      </c>
      <c r="AN737" s="58">
        <f t="shared" si="3373"/>
        <v>0</v>
      </c>
      <c r="AO737" s="58">
        <f t="shared" si="3373"/>
        <v>104289</v>
      </c>
      <c r="AP737" s="58">
        <f t="shared" si="3373"/>
        <v>28960</v>
      </c>
      <c r="AQ737" s="58">
        <f t="shared" si="3373"/>
        <v>0</v>
      </c>
      <c r="AR737" s="58">
        <f t="shared" si="3373"/>
        <v>47070</v>
      </c>
      <c r="AS737" s="58">
        <f t="shared" si="3373"/>
        <v>11800</v>
      </c>
      <c r="AT737" s="58">
        <f t="shared" si="3373"/>
        <v>0</v>
      </c>
      <c r="AU737" s="58">
        <f t="shared" si="3373"/>
        <v>49080</v>
      </c>
      <c r="AV737" s="58">
        <f t="shared" si="3373"/>
        <v>17300</v>
      </c>
      <c r="AW737" s="58">
        <f t="shared" si="3373"/>
        <v>0</v>
      </c>
      <c r="AX737" s="58">
        <f t="shared" si="3373"/>
        <v>127400</v>
      </c>
      <c r="AY737" s="58">
        <f t="shared" si="3373"/>
        <v>16100</v>
      </c>
      <c r="AZ737" s="58">
        <f t="shared" si="3373"/>
        <v>0</v>
      </c>
      <c r="BA737" s="58">
        <f t="shared" si="3373"/>
        <v>103232</v>
      </c>
      <c r="BB737" s="58">
        <f t="shared" si="3373"/>
        <v>16100</v>
      </c>
      <c r="BC737" s="58">
        <f t="shared" si="3373"/>
        <v>0</v>
      </c>
      <c r="BD737" s="58">
        <f t="shared" si="3373"/>
        <v>104284</v>
      </c>
      <c r="BE737" s="58">
        <f t="shared" si="3373"/>
        <v>23890</v>
      </c>
      <c r="BF737" s="58">
        <f t="shared" si="3373"/>
        <v>0</v>
      </c>
      <c r="BG737" s="58">
        <f t="shared" si="3373"/>
        <v>99670</v>
      </c>
      <c r="BH737" s="58">
        <f t="shared" si="3373"/>
        <v>8700</v>
      </c>
      <c r="BI737" s="58">
        <f t="shared" si="3373"/>
        <v>0</v>
      </c>
      <c r="BJ737" s="58">
        <f t="shared" si="3373"/>
        <v>94850</v>
      </c>
      <c r="BK737" s="58">
        <f t="shared" si="3373"/>
        <v>219892</v>
      </c>
      <c r="BL737" s="58">
        <f t="shared" si="3373"/>
        <v>0</v>
      </c>
      <c r="BM737" s="58">
        <f t="shared" si="3373"/>
        <v>752275</v>
      </c>
      <c r="BN737" s="58">
        <f t="shared" si="3373"/>
        <v>0</v>
      </c>
      <c r="BO737" s="58">
        <f t="shared" si="3373"/>
        <v>0</v>
      </c>
      <c r="BP737" s="58">
        <f t="shared" si="3373"/>
        <v>0</v>
      </c>
      <c r="BQ737" s="58">
        <f t="shared" si="3373"/>
        <v>-2.9103830456733704E-11</v>
      </c>
      <c r="BR737" s="58">
        <f t="shared" si="3373"/>
        <v>0</v>
      </c>
      <c r="BS737" s="58">
        <f t="shared" si="3373"/>
        <v>0</v>
      </c>
      <c r="BT737" s="58">
        <f t="shared" si="3373"/>
        <v>0</v>
      </c>
      <c r="BU737" s="58">
        <f t="shared" si="3373"/>
        <v>0</v>
      </c>
      <c r="BV737" s="58">
        <f t="shared" si="3373"/>
        <v>0</v>
      </c>
      <c r="BW737" s="58">
        <f t="shared" si="3373"/>
        <v>0</v>
      </c>
      <c r="BX737" s="65"/>
      <c r="BY737" s="65"/>
      <c r="BZ737" s="65"/>
      <c r="CA737" s="65"/>
      <c r="CB737" s="65"/>
      <c r="CC737" s="65"/>
      <c r="CD737" s="65"/>
      <c r="CE737" s="65"/>
      <c r="CF737" s="65"/>
      <c r="CG737" s="65"/>
    </row>
    <row r="738" spans="1:85" ht="15.75">
      <c r="A738" s="270"/>
      <c r="B738" s="271"/>
      <c r="C738" s="272"/>
      <c r="D738" s="112" t="s">
        <v>128</v>
      </c>
      <c r="E738" s="286">
        <f t="shared" ref="E738:H738" si="3374">E14+E153+E198+E217+E249+E290+E340+E374+E425+E455+E465+E475+E535+E562+E581+E662+E690+E711</f>
        <v>1034146.77</v>
      </c>
      <c r="F738" s="286">
        <f t="shared" si="3374"/>
        <v>27000</v>
      </c>
      <c r="G738" s="286">
        <f t="shared" si="3374"/>
        <v>1007146.77</v>
      </c>
      <c r="H738" s="286">
        <f t="shared" si="3374"/>
        <v>600000</v>
      </c>
      <c r="I738" s="287">
        <f t="shared" si="3365"/>
        <v>1.0426992780803934</v>
      </c>
      <c r="J738" s="287">
        <f t="shared" si="3366"/>
        <v>0.95148046793616781</v>
      </c>
      <c r="K738" s="286">
        <f t="shared" ref="K738:W738" si="3375">K14+K153+K198+K217+K249+K290+K340+K374+K425+K455+K465+K475+K535+K562+K581+K662+K690+K711</f>
        <v>1050151.21</v>
      </c>
      <c r="L738" s="286">
        <f t="shared" si="3375"/>
        <v>1110640.28</v>
      </c>
      <c r="M738" s="286">
        <f t="shared" si="3375"/>
        <v>97341.94</v>
      </c>
      <c r="N738" s="286">
        <f t="shared" si="3375"/>
        <v>959731.65</v>
      </c>
      <c r="O738" s="286">
        <f t="shared" si="3375"/>
        <v>958280.48</v>
      </c>
      <c r="P738" s="286">
        <f t="shared" si="3375"/>
        <v>998631.58</v>
      </c>
      <c r="Q738" s="286">
        <f t="shared" si="3375"/>
        <v>619552.57000000007</v>
      </c>
      <c r="R738" s="286">
        <f t="shared" si="3375"/>
        <v>958280.48</v>
      </c>
      <c r="S738" s="286">
        <f t="shared" si="3375"/>
        <v>998631.58000000019</v>
      </c>
      <c r="T738" s="286">
        <f t="shared" si="3375"/>
        <v>619552.57000000007</v>
      </c>
      <c r="U738" s="286">
        <f t="shared" si="3375"/>
        <v>91870.73</v>
      </c>
      <c r="V738" s="286">
        <f t="shared" si="3375"/>
        <v>14666.759999999998</v>
      </c>
      <c r="W738" s="286">
        <f t="shared" si="3375"/>
        <v>340179.08</v>
      </c>
      <c r="X738" s="288">
        <f t="shared" ref="X738:Y738" si="3376">IF(O738&gt;0,O738/K738,0)</f>
        <v>0.9125166651000669</v>
      </c>
      <c r="Y738" s="288">
        <f t="shared" si="3376"/>
        <v>0.8991494347746869</v>
      </c>
      <c r="Z738" s="288">
        <f t="shared" si="3358"/>
        <v>0.64554771117530618</v>
      </c>
      <c r="AA738" s="286">
        <f t="shared" ref="AA738:BW738" si="3377">AA14+AA153+AA198+AA217+AA249+AA290+AA340+AA374+AA425+AA455+AA465+AA475+AA535+AA562+AA581+AA662+AA690+AA711</f>
        <v>22709.98</v>
      </c>
      <c r="AB738" s="286">
        <f t="shared" si="3377"/>
        <v>50041.02</v>
      </c>
      <c r="AC738" s="286">
        <f t="shared" si="3377"/>
        <v>0</v>
      </c>
      <c r="AD738" s="286">
        <f t="shared" si="3377"/>
        <v>31221.72</v>
      </c>
      <c r="AE738" s="286">
        <f t="shared" si="3377"/>
        <v>57499.86</v>
      </c>
      <c r="AF738" s="286">
        <f t="shared" si="3377"/>
        <v>0</v>
      </c>
      <c r="AG738" s="286">
        <f t="shared" si="3377"/>
        <v>121161.17</v>
      </c>
      <c r="AH738" s="286">
        <f t="shared" si="3377"/>
        <v>125359.39</v>
      </c>
      <c r="AI738" s="286">
        <f t="shared" si="3377"/>
        <v>14077.8</v>
      </c>
      <c r="AJ738" s="286">
        <f t="shared" si="3377"/>
        <v>53753.11</v>
      </c>
      <c r="AK738" s="286">
        <f t="shared" si="3377"/>
        <v>108724.87000000001</v>
      </c>
      <c r="AL738" s="286">
        <f t="shared" si="3377"/>
        <v>9540.2999999999993</v>
      </c>
      <c r="AM738" s="286">
        <f t="shared" si="3377"/>
        <v>97897.170000000013</v>
      </c>
      <c r="AN738" s="286">
        <f t="shared" si="3377"/>
        <v>94852.189999999988</v>
      </c>
      <c r="AO738" s="286">
        <f t="shared" si="3377"/>
        <v>35167.4</v>
      </c>
      <c r="AP738" s="286">
        <f t="shared" si="3377"/>
        <v>64326.909999999996</v>
      </c>
      <c r="AQ738" s="286">
        <f t="shared" si="3377"/>
        <v>162225.25999999998</v>
      </c>
      <c r="AR738" s="286">
        <f t="shared" si="3377"/>
        <v>42162.280000000006</v>
      </c>
      <c r="AS738" s="286">
        <f t="shared" si="3377"/>
        <v>97462.71</v>
      </c>
      <c r="AT738" s="286">
        <f t="shared" si="3377"/>
        <v>53670.19</v>
      </c>
      <c r="AU738" s="286">
        <f t="shared" si="3377"/>
        <v>42131</v>
      </c>
      <c r="AV738" s="286">
        <f t="shared" si="3377"/>
        <v>138289.22</v>
      </c>
      <c r="AW738" s="286">
        <f t="shared" si="3377"/>
        <v>156560.64000000001</v>
      </c>
      <c r="AX738" s="286">
        <f t="shared" si="3377"/>
        <v>69113</v>
      </c>
      <c r="AY738" s="286">
        <f t="shared" si="3377"/>
        <v>70572.149999999994</v>
      </c>
      <c r="AZ738" s="286">
        <f t="shared" si="3377"/>
        <v>32796.870000000003</v>
      </c>
      <c r="BA738" s="286">
        <f t="shared" si="3377"/>
        <v>15397</v>
      </c>
      <c r="BB738" s="286">
        <f t="shared" si="3377"/>
        <v>93221.26999999999</v>
      </c>
      <c r="BC738" s="286">
        <f t="shared" si="3377"/>
        <v>30970.78</v>
      </c>
      <c r="BD738" s="286">
        <f t="shared" si="3377"/>
        <v>30460</v>
      </c>
      <c r="BE738" s="286">
        <f t="shared" si="3377"/>
        <v>60888.01</v>
      </c>
      <c r="BF738" s="286">
        <f t="shared" si="3377"/>
        <v>20740.940000000002</v>
      </c>
      <c r="BG738" s="286">
        <f t="shared" si="3377"/>
        <v>318555.41000000003</v>
      </c>
      <c r="BH738" s="286">
        <f t="shared" si="3377"/>
        <v>106777.06</v>
      </c>
      <c r="BI738" s="286">
        <f t="shared" si="3377"/>
        <v>105189.57</v>
      </c>
      <c r="BJ738" s="286">
        <f t="shared" si="3377"/>
        <v>42948.38</v>
      </c>
      <c r="BK738" s="286">
        <f t="shared" si="3377"/>
        <v>958280.48</v>
      </c>
      <c r="BL738" s="286">
        <f t="shared" si="3377"/>
        <v>998631.58000000019</v>
      </c>
      <c r="BM738" s="286">
        <f t="shared" si="3377"/>
        <v>619552.57000000007</v>
      </c>
      <c r="BN738" s="286">
        <f t="shared" si="3377"/>
        <v>0</v>
      </c>
      <c r="BO738" s="286">
        <f t="shared" si="3377"/>
        <v>0</v>
      </c>
      <c r="BP738" s="286">
        <f t="shared" si="3377"/>
        <v>0</v>
      </c>
      <c r="BQ738" s="286">
        <f t="shared" si="3377"/>
        <v>91870.73</v>
      </c>
      <c r="BR738" s="286">
        <f t="shared" si="3377"/>
        <v>340179.08</v>
      </c>
      <c r="BS738" s="286">
        <f t="shared" si="3377"/>
        <v>432049.81</v>
      </c>
      <c r="BT738" s="286">
        <f t="shared" si="3377"/>
        <v>14666.759999999998</v>
      </c>
      <c r="BU738" s="286">
        <f t="shared" si="3377"/>
        <v>0</v>
      </c>
      <c r="BV738" s="286">
        <f t="shared" si="3377"/>
        <v>432049.81</v>
      </c>
      <c r="BW738" s="286">
        <f t="shared" si="3377"/>
        <v>446716.57</v>
      </c>
      <c r="BX738" s="1"/>
      <c r="BY738" s="1"/>
      <c r="BZ738" s="1"/>
      <c r="CA738" s="1"/>
      <c r="CB738" s="1"/>
      <c r="CC738" s="1"/>
      <c r="CD738" s="1"/>
      <c r="CE738" s="1"/>
      <c r="CF738" s="1"/>
      <c r="CG738" s="1"/>
    </row>
    <row r="739" spans="1:85" ht="15.75" customHeight="1">
      <c r="A739" s="270"/>
      <c r="B739" s="271"/>
      <c r="C739" s="272"/>
      <c r="D739" s="112" t="s">
        <v>452</v>
      </c>
      <c r="E739" s="58">
        <f t="shared" ref="E739:H739" si="3378">E200+E207+E269+E310+E457+E467+E477+E491+E522+E566+E712</f>
        <v>76000</v>
      </c>
      <c r="F739" s="58">
        <f t="shared" si="3378"/>
        <v>37568.180000000008</v>
      </c>
      <c r="G739" s="58">
        <f t="shared" si="3378"/>
        <v>38431.82</v>
      </c>
      <c r="H739" s="58">
        <f t="shared" si="3378"/>
        <v>40000</v>
      </c>
      <c r="I739" s="60">
        <f t="shared" si="3365"/>
        <v>2.4880549502989968</v>
      </c>
      <c r="J739" s="60">
        <f t="shared" si="3366"/>
        <v>2.4880549502989973</v>
      </c>
      <c r="K739" s="58">
        <f t="shared" ref="K739:W739" si="3379">K200+K207+K269+K310+K457+K467+K477+K491+K522+K566+K712</f>
        <v>95620.479999999996</v>
      </c>
      <c r="L739" s="58">
        <f t="shared" si="3379"/>
        <v>0</v>
      </c>
      <c r="M739" s="58">
        <f t="shared" si="3379"/>
        <v>0</v>
      </c>
      <c r="N739" s="58">
        <f t="shared" si="3379"/>
        <v>4751.0200000000004</v>
      </c>
      <c r="O739" s="58">
        <f t="shared" si="3379"/>
        <v>95620.48000000001</v>
      </c>
      <c r="P739" s="58">
        <f t="shared" si="3379"/>
        <v>0</v>
      </c>
      <c r="Q739" s="58">
        <f t="shared" si="3379"/>
        <v>4751.0200000000004</v>
      </c>
      <c r="R739" s="58">
        <f t="shared" si="3379"/>
        <v>95620.479999999996</v>
      </c>
      <c r="S739" s="58">
        <f t="shared" si="3379"/>
        <v>0</v>
      </c>
      <c r="T739" s="58">
        <f t="shared" si="3379"/>
        <v>4751.0200000000004</v>
      </c>
      <c r="U739" s="58">
        <f t="shared" si="3379"/>
        <v>0</v>
      </c>
      <c r="V739" s="58">
        <f t="shared" si="3379"/>
        <v>0</v>
      </c>
      <c r="W739" s="58">
        <f t="shared" si="3379"/>
        <v>0</v>
      </c>
      <c r="X739" s="63">
        <f t="shared" ref="X739:Y739" si="3380">IF(O739&gt;0,O739/K739,0)</f>
        <v>1.0000000000000002</v>
      </c>
      <c r="Y739" s="63">
        <f t="shared" si="3380"/>
        <v>0</v>
      </c>
      <c r="Z739" s="63">
        <f t="shared" si="3358"/>
        <v>1</v>
      </c>
      <c r="AA739" s="58">
        <f t="shared" ref="AA739:BW739" si="3381">AA200+AA207+AA269+AA310+AA457+AA467+AA477+AA491+AA522+AA566+AA712</f>
        <v>4709.59</v>
      </c>
      <c r="AB739" s="58">
        <f t="shared" si="3381"/>
        <v>0</v>
      </c>
      <c r="AC739" s="58">
        <f t="shared" si="3381"/>
        <v>0</v>
      </c>
      <c r="AD739" s="58">
        <f t="shared" si="3381"/>
        <v>4369.59</v>
      </c>
      <c r="AE739" s="58">
        <f t="shared" si="3381"/>
        <v>0</v>
      </c>
      <c r="AF739" s="58">
        <f t="shared" si="3381"/>
        <v>0</v>
      </c>
      <c r="AG739" s="58">
        <f t="shared" si="3381"/>
        <v>4289.59</v>
      </c>
      <c r="AH739" s="58">
        <f t="shared" si="3381"/>
        <v>0</v>
      </c>
      <c r="AI739" s="58">
        <f t="shared" si="3381"/>
        <v>0</v>
      </c>
      <c r="AJ739" s="58">
        <f t="shared" si="3381"/>
        <v>12493.52</v>
      </c>
      <c r="AK739" s="58">
        <f t="shared" si="3381"/>
        <v>0</v>
      </c>
      <c r="AL739" s="58">
        <f t="shared" si="3381"/>
        <v>0</v>
      </c>
      <c r="AM739" s="58">
        <f t="shared" si="3381"/>
        <v>11053.52</v>
      </c>
      <c r="AN739" s="58">
        <f t="shared" si="3381"/>
        <v>0</v>
      </c>
      <c r="AO739" s="58">
        <f t="shared" si="3381"/>
        <v>0</v>
      </c>
      <c r="AP739" s="58">
        <f t="shared" si="3381"/>
        <v>10455.540000000001</v>
      </c>
      <c r="AQ739" s="58">
        <f t="shared" si="3381"/>
        <v>0</v>
      </c>
      <c r="AR739" s="58">
        <f t="shared" si="3381"/>
        <v>0</v>
      </c>
      <c r="AS739" s="58">
        <f t="shared" si="3381"/>
        <v>10225.540000000001</v>
      </c>
      <c r="AT739" s="58">
        <f t="shared" si="3381"/>
        <v>0</v>
      </c>
      <c r="AU739" s="58">
        <f t="shared" si="3381"/>
        <v>0</v>
      </c>
      <c r="AV739" s="58">
        <f t="shared" si="3381"/>
        <v>7891.91</v>
      </c>
      <c r="AW739" s="58">
        <f t="shared" si="3381"/>
        <v>0</v>
      </c>
      <c r="AX739" s="58">
        <f t="shared" si="3381"/>
        <v>0</v>
      </c>
      <c r="AY739" s="58">
        <f t="shared" si="3381"/>
        <v>7521.91</v>
      </c>
      <c r="AZ739" s="58">
        <f t="shared" si="3381"/>
        <v>0</v>
      </c>
      <c r="BA739" s="58">
        <f t="shared" si="3381"/>
        <v>0</v>
      </c>
      <c r="BB739" s="58">
        <f t="shared" si="3381"/>
        <v>7601.91</v>
      </c>
      <c r="BC739" s="58">
        <f t="shared" si="3381"/>
        <v>0</v>
      </c>
      <c r="BD739" s="58">
        <f t="shared" si="3381"/>
        <v>4751.0200000000004</v>
      </c>
      <c r="BE739" s="58">
        <f t="shared" si="3381"/>
        <v>8253.93</v>
      </c>
      <c r="BF739" s="58">
        <f t="shared" si="3381"/>
        <v>0</v>
      </c>
      <c r="BG739" s="58">
        <f t="shared" si="3381"/>
        <v>0</v>
      </c>
      <c r="BH739" s="58">
        <f t="shared" si="3381"/>
        <v>6753.93</v>
      </c>
      <c r="BI739" s="58">
        <f t="shared" si="3381"/>
        <v>0</v>
      </c>
      <c r="BJ739" s="58">
        <f t="shared" si="3381"/>
        <v>0</v>
      </c>
      <c r="BK739" s="58">
        <f t="shared" si="3381"/>
        <v>95620.479999999996</v>
      </c>
      <c r="BL739" s="58">
        <f t="shared" si="3381"/>
        <v>0</v>
      </c>
      <c r="BM739" s="58">
        <f t="shared" si="3381"/>
        <v>4751.0200000000004</v>
      </c>
      <c r="BN739" s="58">
        <f t="shared" si="3381"/>
        <v>1.4551915228366852E-11</v>
      </c>
      <c r="BO739" s="58">
        <f t="shared" si="3381"/>
        <v>0</v>
      </c>
      <c r="BP739" s="58">
        <f t="shared" si="3381"/>
        <v>1.4551915228366852E-11</v>
      </c>
      <c r="BQ739" s="58">
        <f t="shared" si="3381"/>
        <v>0</v>
      </c>
      <c r="BR739" s="58">
        <f t="shared" si="3381"/>
        <v>0</v>
      </c>
      <c r="BS739" s="58">
        <f t="shared" si="3381"/>
        <v>0</v>
      </c>
      <c r="BT739" s="58">
        <f t="shared" si="3381"/>
        <v>0</v>
      </c>
      <c r="BU739" s="58">
        <f t="shared" si="3381"/>
        <v>1.4551915228366852E-11</v>
      </c>
      <c r="BV739" s="58">
        <f t="shared" si="3381"/>
        <v>0</v>
      </c>
      <c r="BW739" s="58">
        <f t="shared" si="3381"/>
        <v>1.4551915228366852E-11</v>
      </c>
      <c r="BX739" s="1"/>
      <c r="BY739" s="1"/>
      <c r="BZ739" s="1"/>
      <c r="CA739" s="1"/>
      <c r="CB739" s="1"/>
      <c r="CC739" s="1"/>
      <c r="CD739" s="1"/>
      <c r="CE739" s="1"/>
      <c r="CF739" s="1"/>
      <c r="CG739" s="1"/>
    </row>
    <row r="740" spans="1:85" ht="15.75">
      <c r="A740" s="270"/>
      <c r="B740" s="271"/>
      <c r="C740" s="272"/>
      <c r="D740" s="112" t="s">
        <v>1150</v>
      </c>
      <c r="E740" s="286">
        <f t="shared" ref="E740:H740" si="3382">E64+E128+E155+E312+E345+E394+E642+E665+E702</f>
        <v>1800000</v>
      </c>
      <c r="F740" s="286">
        <f t="shared" si="3382"/>
        <v>175357.14</v>
      </c>
      <c r="G740" s="286">
        <f t="shared" si="3382"/>
        <v>1624642.8599999999</v>
      </c>
      <c r="H740" s="286">
        <f t="shared" si="3382"/>
        <v>2284944.87</v>
      </c>
      <c r="I740" s="287">
        <f t="shared" si="3365"/>
        <v>1.0866083084869498</v>
      </c>
      <c r="J740" s="287">
        <f t="shared" si="3366"/>
        <v>1.0813972678278352</v>
      </c>
      <c r="K740" s="286">
        <f t="shared" ref="K740:W740" si="3383">K64+K128+K155+K312+K345+K394+K642+K665+K702</f>
        <v>1765350.4300000002</v>
      </c>
      <c r="L740" s="286">
        <f t="shared" si="3383"/>
        <v>482544.58999999997</v>
      </c>
      <c r="M740" s="286">
        <f t="shared" si="3383"/>
        <v>0.03</v>
      </c>
      <c r="N740" s="286">
        <f t="shared" si="3383"/>
        <v>1607859.6000000003</v>
      </c>
      <c r="O740" s="286">
        <f t="shared" si="3383"/>
        <v>1756884.35</v>
      </c>
      <c r="P740" s="286">
        <f t="shared" si="3383"/>
        <v>370775.03999999998</v>
      </c>
      <c r="Q740" s="286">
        <f t="shared" si="3383"/>
        <v>1585648.15</v>
      </c>
      <c r="R740" s="286">
        <f t="shared" si="3383"/>
        <v>1686044.97</v>
      </c>
      <c r="S740" s="286">
        <f t="shared" si="3383"/>
        <v>370775.03999999998</v>
      </c>
      <c r="T740" s="286">
        <f t="shared" si="3383"/>
        <v>1514290.04</v>
      </c>
      <c r="U740" s="286">
        <f t="shared" si="3383"/>
        <v>8466.08</v>
      </c>
      <c r="V740" s="286">
        <f t="shared" si="3383"/>
        <v>111769.52</v>
      </c>
      <c r="W740" s="286">
        <f t="shared" si="3383"/>
        <v>22211.449999999975</v>
      </c>
      <c r="X740" s="288">
        <f t="shared" ref="X740:Y740" si="3384">IF(O740&gt;0,O740/K740,0)</f>
        <v>0.99520430626343115</v>
      </c>
      <c r="Y740" s="288">
        <f t="shared" si="3384"/>
        <v>0.76837466978958358</v>
      </c>
      <c r="Z740" s="288">
        <f t="shared" si="3358"/>
        <v>0.98618570303028918</v>
      </c>
      <c r="AA740" s="286">
        <f t="shared" ref="AA740:BW740" si="3385">AA64+AA128+AA155+AA312+AA345+AA394+AA642+AA665+AA702</f>
        <v>0</v>
      </c>
      <c r="AB740" s="286">
        <f t="shared" si="3385"/>
        <v>118555.63999999998</v>
      </c>
      <c r="AC740" s="286">
        <f t="shared" si="3385"/>
        <v>0</v>
      </c>
      <c r="AD740" s="286">
        <f t="shared" si="3385"/>
        <v>0</v>
      </c>
      <c r="AE740" s="286">
        <f t="shared" si="3385"/>
        <v>154916.01999999999</v>
      </c>
      <c r="AF740" s="286">
        <f t="shared" si="3385"/>
        <v>405.27</v>
      </c>
      <c r="AG740" s="286">
        <f t="shared" si="3385"/>
        <v>72786.2</v>
      </c>
      <c r="AH740" s="286">
        <f t="shared" si="3385"/>
        <v>75409.539999999994</v>
      </c>
      <c r="AI740" s="286">
        <f t="shared" si="3385"/>
        <v>85883.04</v>
      </c>
      <c r="AJ740" s="286">
        <f t="shared" si="3385"/>
        <v>79337.23000000001</v>
      </c>
      <c r="AK740" s="286">
        <f t="shared" si="3385"/>
        <v>18714.5</v>
      </c>
      <c r="AL740" s="286">
        <f t="shared" si="3385"/>
        <v>178052.2</v>
      </c>
      <c r="AM740" s="286">
        <f t="shared" si="3385"/>
        <v>117805.18</v>
      </c>
      <c r="AN740" s="286">
        <f t="shared" si="3385"/>
        <v>3070.3</v>
      </c>
      <c r="AO740" s="286">
        <f t="shared" si="3385"/>
        <v>172171.56</v>
      </c>
      <c r="AP740" s="286">
        <f t="shared" si="3385"/>
        <v>178554.72</v>
      </c>
      <c r="AQ740" s="286">
        <f t="shared" si="3385"/>
        <v>109.04</v>
      </c>
      <c r="AR740" s="286">
        <f t="shared" si="3385"/>
        <v>181878.91000000003</v>
      </c>
      <c r="AS740" s="286">
        <f t="shared" si="3385"/>
        <v>143920.31</v>
      </c>
      <c r="AT740" s="286">
        <f t="shared" si="3385"/>
        <v>0</v>
      </c>
      <c r="AU740" s="286">
        <f t="shared" si="3385"/>
        <v>203978.57</v>
      </c>
      <c r="AV740" s="286">
        <f t="shared" si="3385"/>
        <v>242351.61</v>
      </c>
      <c r="AW740" s="286">
        <f t="shared" si="3385"/>
        <v>0</v>
      </c>
      <c r="AX740" s="286">
        <f t="shared" si="3385"/>
        <v>130498.63999999998</v>
      </c>
      <c r="AY740" s="286">
        <f t="shared" si="3385"/>
        <v>388596.94</v>
      </c>
      <c r="AZ740" s="286">
        <f t="shared" si="3385"/>
        <v>0</v>
      </c>
      <c r="BA740" s="286">
        <f t="shared" si="3385"/>
        <v>-60126.320000000014</v>
      </c>
      <c r="BB740" s="286">
        <f t="shared" si="3385"/>
        <v>199701.2</v>
      </c>
      <c r="BC740" s="286">
        <f t="shared" si="3385"/>
        <v>0</v>
      </c>
      <c r="BD740" s="286">
        <f t="shared" si="3385"/>
        <v>109681.09</v>
      </c>
      <c r="BE740" s="286">
        <f t="shared" si="3385"/>
        <v>168087.9</v>
      </c>
      <c r="BF740" s="286">
        <f t="shared" si="3385"/>
        <v>0</v>
      </c>
      <c r="BG740" s="286">
        <f t="shared" si="3385"/>
        <v>185502.26</v>
      </c>
      <c r="BH740" s="286">
        <f t="shared" si="3385"/>
        <v>165743.06</v>
      </c>
      <c r="BI740" s="286">
        <f t="shared" si="3385"/>
        <v>0</v>
      </c>
      <c r="BJ740" s="286">
        <f t="shared" si="3385"/>
        <v>397722.93</v>
      </c>
      <c r="BK740" s="286">
        <f t="shared" si="3385"/>
        <v>1686044.97</v>
      </c>
      <c r="BL740" s="286">
        <f t="shared" si="3385"/>
        <v>370775.03999999998</v>
      </c>
      <c r="BM740" s="286">
        <f t="shared" si="3385"/>
        <v>1514290.04</v>
      </c>
      <c r="BN740" s="286">
        <f t="shared" si="3385"/>
        <v>70839.380000000019</v>
      </c>
      <c r="BO740" s="286">
        <f t="shared" si="3385"/>
        <v>71358.110000000102</v>
      </c>
      <c r="BP740" s="286">
        <f t="shared" si="3385"/>
        <v>142197.49000000011</v>
      </c>
      <c r="BQ740" s="286">
        <f t="shared" si="3385"/>
        <v>8466.08</v>
      </c>
      <c r="BR740" s="286">
        <f t="shared" si="3385"/>
        <v>22211.449999999975</v>
      </c>
      <c r="BS740" s="286">
        <f t="shared" si="3385"/>
        <v>30677.529999999977</v>
      </c>
      <c r="BT740" s="286">
        <f t="shared" si="3385"/>
        <v>111769.52</v>
      </c>
      <c r="BU740" s="286">
        <f t="shared" si="3385"/>
        <v>142197.49000000011</v>
      </c>
      <c r="BV740" s="286">
        <f t="shared" si="3385"/>
        <v>30677.529999999977</v>
      </c>
      <c r="BW740" s="286">
        <f t="shared" si="3385"/>
        <v>284644.5400000001</v>
      </c>
      <c r="BX740" s="1"/>
      <c r="BY740" s="1"/>
      <c r="BZ740" s="1"/>
      <c r="CA740" s="1"/>
      <c r="CB740" s="1"/>
      <c r="CC740" s="1"/>
      <c r="CD740" s="1"/>
      <c r="CE740" s="1"/>
      <c r="CF740" s="1"/>
      <c r="CG740" s="1"/>
    </row>
    <row r="741" spans="1:85" ht="15.75">
      <c r="A741" s="270"/>
      <c r="B741" s="271"/>
      <c r="C741" s="272"/>
      <c r="D741" s="112" t="s">
        <v>251</v>
      </c>
      <c r="E741" s="286">
        <f t="shared" ref="E741:H741" si="3386">E76+E132+E158+E171+E189+E209+E253+E271+E315+E336+E347+E353+E369+E407+E482+E506+E551+E569+E648+E713</f>
        <v>776043.26</v>
      </c>
      <c r="F741" s="286">
        <f t="shared" si="3386"/>
        <v>134134.32</v>
      </c>
      <c r="G741" s="286">
        <f t="shared" si="3386"/>
        <v>641908.93999999994</v>
      </c>
      <c r="H741" s="286">
        <f t="shared" si="3386"/>
        <v>995000</v>
      </c>
      <c r="I741" s="287">
        <f t="shared" si="3365"/>
        <v>1.2156509301771059</v>
      </c>
      <c r="J741" s="287">
        <f t="shared" si="3366"/>
        <v>1.1650806577020099</v>
      </c>
      <c r="K741" s="286">
        <f t="shared" ref="K741:W741" si="3387">K76+K132+K158+K171+K189+K209+K253+K271+K315+K336+K347+K353+K369+K407+K482+K506+K551+K569+K648+K713</f>
        <v>780337.2</v>
      </c>
      <c r="L741" s="286">
        <f t="shared" si="3387"/>
        <v>1006376.63</v>
      </c>
      <c r="M741" s="286">
        <f t="shared" si="3387"/>
        <v>40687.970000000008</v>
      </c>
      <c r="N741" s="286">
        <f t="shared" si="3387"/>
        <v>169157.58000000002</v>
      </c>
      <c r="O741" s="286">
        <f t="shared" si="3387"/>
        <v>747875.69</v>
      </c>
      <c r="P741" s="286">
        <f t="shared" si="3387"/>
        <v>853369.34</v>
      </c>
      <c r="Q741" s="286">
        <f t="shared" si="3387"/>
        <v>57489.15</v>
      </c>
      <c r="R741" s="286">
        <f t="shared" si="3387"/>
        <v>747875.69</v>
      </c>
      <c r="S741" s="286">
        <f t="shared" si="3387"/>
        <v>848180.34</v>
      </c>
      <c r="T741" s="286">
        <f t="shared" si="3387"/>
        <v>41835.100000999999</v>
      </c>
      <c r="U741" s="286">
        <f t="shared" si="3387"/>
        <v>32461.510000000002</v>
      </c>
      <c r="V741" s="286">
        <f t="shared" si="3387"/>
        <v>117508.32</v>
      </c>
      <c r="W741" s="286">
        <f t="shared" si="3387"/>
        <v>111668.43000000001</v>
      </c>
      <c r="X741" s="288">
        <f t="shared" ref="X741:Y741" si="3388">IF(O741&gt;0,O741/K741,0)</f>
        <v>0.95840066320047279</v>
      </c>
      <c r="Y741" s="288">
        <f t="shared" si="3388"/>
        <v>0.84796219880423884</v>
      </c>
      <c r="Z741" s="288">
        <f t="shared" si="3358"/>
        <v>0.33985559500200935</v>
      </c>
      <c r="AA741" s="286">
        <f t="shared" ref="AA741:BW741" si="3389">AA76+AA132+AA158+AA171+AA189+AA209+AA253+AA271+AA315+AA336+AA347+AA353+AA369+AA407+AA482+AA506+AA551+AA569+AA648+AA713</f>
        <v>86412.86</v>
      </c>
      <c r="AB741" s="286">
        <f t="shared" si="3389"/>
        <v>126242.29000000001</v>
      </c>
      <c r="AC741" s="286">
        <f t="shared" si="3389"/>
        <v>0</v>
      </c>
      <c r="AD741" s="286">
        <f t="shared" si="3389"/>
        <v>62680.5</v>
      </c>
      <c r="AE741" s="286">
        <f t="shared" si="3389"/>
        <v>82956.580000000016</v>
      </c>
      <c r="AF741" s="286">
        <f t="shared" si="3389"/>
        <v>0</v>
      </c>
      <c r="AG741" s="286">
        <f t="shared" si="3389"/>
        <v>67659.510000000009</v>
      </c>
      <c r="AH741" s="286">
        <f t="shared" si="3389"/>
        <v>94193.87999999999</v>
      </c>
      <c r="AI741" s="286">
        <f t="shared" si="3389"/>
        <v>0</v>
      </c>
      <c r="AJ741" s="286">
        <f t="shared" si="3389"/>
        <v>34657.54</v>
      </c>
      <c r="AK741" s="286">
        <f t="shared" si="3389"/>
        <v>61810.21</v>
      </c>
      <c r="AL741" s="286">
        <f t="shared" si="3389"/>
        <v>0</v>
      </c>
      <c r="AM741" s="286">
        <f t="shared" si="3389"/>
        <v>48106.770000000004</v>
      </c>
      <c r="AN741" s="286">
        <f t="shared" si="3389"/>
        <v>82415.669999999984</v>
      </c>
      <c r="AO741" s="286">
        <f t="shared" si="3389"/>
        <v>0</v>
      </c>
      <c r="AP741" s="286">
        <f t="shared" si="3389"/>
        <v>102738.56</v>
      </c>
      <c r="AQ741" s="286">
        <f t="shared" si="3389"/>
        <v>77718.559999999998</v>
      </c>
      <c r="AR741" s="286">
        <f t="shared" si="3389"/>
        <v>0</v>
      </c>
      <c r="AS741" s="286">
        <f t="shared" si="3389"/>
        <v>30953.34</v>
      </c>
      <c r="AT741" s="286">
        <f t="shared" si="3389"/>
        <v>27288.89</v>
      </c>
      <c r="AU741" s="286">
        <f t="shared" si="3389"/>
        <v>0</v>
      </c>
      <c r="AV741" s="286">
        <f t="shared" si="3389"/>
        <v>44227.509999999995</v>
      </c>
      <c r="AW741" s="286">
        <f t="shared" si="3389"/>
        <v>11772.509999999998</v>
      </c>
      <c r="AX741" s="286">
        <f t="shared" si="3389"/>
        <v>0</v>
      </c>
      <c r="AY741" s="286">
        <f t="shared" si="3389"/>
        <v>56317.04</v>
      </c>
      <c r="AZ741" s="286">
        <f t="shared" si="3389"/>
        <v>87718.399999999994</v>
      </c>
      <c r="BA741" s="286">
        <f t="shared" si="3389"/>
        <v>0</v>
      </c>
      <c r="BB741" s="286">
        <f t="shared" si="3389"/>
        <v>108824.55</v>
      </c>
      <c r="BC741" s="286">
        <f t="shared" si="3389"/>
        <v>129.36000000000001</v>
      </c>
      <c r="BD741" s="286">
        <f t="shared" si="3389"/>
        <v>0</v>
      </c>
      <c r="BE741" s="286">
        <f t="shared" si="3389"/>
        <v>50008.14</v>
      </c>
      <c r="BF741" s="286">
        <f t="shared" si="3389"/>
        <v>126.9</v>
      </c>
      <c r="BG741" s="286">
        <f t="shared" si="3389"/>
        <v>10135.1</v>
      </c>
      <c r="BH741" s="286">
        <f t="shared" si="3389"/>
        <v>55289.37</v>
      </c>
      <c r="BI741" s="286">
        <f t="shared" si="3389"/>
        <v>200996.09</v>
      </c>
      <c r="BJ741" s="286">
        <f t="shared" si="3389"/>
        <v>47354.05</v>
      </c>
      <c r="BK741" s="286">
        <f t="shared" si="3389"/>
        <v>747875.69</v>
      </c>
      <c r="BL741" s="286">
        <f t="shared" si="3389"/>
        <v>848180.34</v>
      </c>
      <c r="BM741" s="286">
        <f t="shared" si="3389"/>
        <v>41835.100000999999</v>
      </c>
      <c r="BN741" s="286">
        <f t="shared" si="3389"/>
        <v>0</v>
      </c>
      <c r="BO741" s="286">
        <f t="shared" si="3389"/>
        <v>15654.049998999999</v>
      </c>
      <c r="BP741" s="286">
        <f t="shared" si="3389"/>
        <v>15654.049998999999</v>
      </c>
      <c r="BQ741" s="286">
        <f t="shared" si="3389"/>
        <v>32461.510000000002</v>
      </c>
      <c r="BR741" s="286">
        <f t="shared" si="3389"/>
        <v>111668.43000000001</v>
      </c>
      <c r="BS741" s="286">
        <f t="shared" si="3389"/>
        <v>144129.94</v>
      </c>
      <c r="BT741" s="286">
        <f t="shared" si="3389"/>
        <v>117508.32</v>
      </c>
      <c r="BU741" s="286">
        <f t="shared" si="3389"/>
        <v>15654.049998999999</v>
      </c>
      <c r="BV741" s="286">
        <f t="shared" si="3389"/>
        <v>144129.94</v>
      </c>
      <c r="BW741" s="286">
        <f t="shared" si="3389"/>
        <v>277292.30999900005</v>
      </c>
      <c r="BX741" s="1"/>
      <c r="BY741" s="1"/>
      <c r="BZ741" s="1"/>
      <c r="CA741" s="1"/>
      <c r="CB741" s="1"/>
      <c r="CC741" s="1"/>
      <c r="CD741" s="1"/>
      <c r="CE741" s="1"/>
      <c r="CF741" s="1"/>
      <c r="CG741" s="1"/>
    </row>
    <row r="742" spans="1:85" ht="15.75">
      <c r="A742" s="270"/>
      <c r="B742" s="271"/>
      <c r="C742" s="272"/>
      <c r="D742" s="112" t="s">
        <v>320</v>
      </c>
      <c r="E742" s="286">
        <f t="shared" ref="E742:H742" si="3390">E104+E160+E350+E357+E416</f>
        <v>293000</v>
      </c>
      <c r="F742" s="286">
        <f t="shared" si="3390"/>
        <v>0</v>
      </c>
      <c r="G742" s="286">
        <f t="shared" si="3390"/>
        <v>293000</v>
      </c>
      <c r="H742" s="286">
        <f t="shared" si="3390"/>
        <v>110000</v>
      </c>
      <c r="I742" s="287">
        <f t="shared" si="3365"/>
        <v>0.54074836177474406</v>
      </c>
      <c r="J742" s="287">
        <f t="shared" si="3366"/>
        <v>0.48034709897610928</v>
      </c>
      <c r="K742" s="286">
        <f t="shared" ref="K742:W742" si="3391">K104+K160+K350+K357+K416</f>
        <v>158439.27000000002</v>
      </c>
      <c r="L742" s="286">
        <f t="shared" si="3391"/>
        <v>235542.61</v>
      </c>
      <c r="M742" s="286">
        <f t="shared" si="3391"/>
        <v>0</v>
      </c>
      <c r="N742" s="286">
        <f t="shared" si="3391"/>
        <v>183511.44</v>
      </c>
      <c r="O742" s="286">
        <f t="shared" si="3391"/>
        <v>140741.70000000001</v>
      </c>
      <c r="P742" s="286">
        <f t="shared" si="3391"/>
        <v>235542.61</v>
      </c>
      <c r="Q742" s="286">
        <f t="shared" si="3391"/>
        <v>157622.34000000003</v>
      </c>
      <c r="R742" s="286">
        <f t="shared" si="3391"/>
        <v>140741.70000000001</v>
      </c>
      <c r="S742" s="286">
        <f t="shared" si="3391"/>
        <v>235542.61</v>
      </c>
      <c r="T742" s="286">
        <f t="shared" si="3391"/>
        <v>157622.34</v>
      </c>
      <c r="U742" s="286">
        <f t="shared" si="3391"/>
        <v>17697.57</v>
      </c>
      <c r="V742" s="286">
        <f t="shared" si="3391"/>
        <v>0</v>
      </c>
      <c r="W742" s="286">
        <f t="shared" si="3391"/>
        <v>25889.09999999998</v>
      </c>
      <c r="X742" s="288">
        <f t="shared" ref="X742:Y742" si="3392">IF(O742&gt;0,O742/K742,0)</f>
        <v>0.88830060880739981</v>
      </c>
      <c r="Y742" s="288">
        <f t="shared" si="3392"/>
        <v>1</v>
      </c>
      <c r="Z742" s="288">
        <f t="shared" si="3358"/>
        <v>0.85892378153645366</v>
      </c>
      <c r="AA742" s="286">
        <f t="shared" ref="AA742:BW742" si="3393">AA104+AA160+AA350+AA357+AA416</f>
        <v>0</v>
      </c>
      <c r="AB742" s="286">
        <f t="shared" si="3393"/>
        <v>32059.89</v>
      </c>
      <c r="AC742" s="286">
        <f t="shared" si="3393"/>
        <v>0</v>
      </c>
      <c r="AD742" s="286">
        <f t="shared" si="3393"/>
        <v>135.97999999999999</v>
      </c>
      <c r="AE742" s="286">
        <f t="shared" si="3393"/>
        <v>31861.109999999997</v>
      </c>
      <c r="AF742" s="286">
        <f t="shared" si="3393"/>
        <v>0</v>
      </c>
      <c r="AG742" s="286">
        <f t="shared" si="3393"/>
        <v>710.07</v>
      </c>
      <c r="AH742" s="286">
        <f t="shared" si="3393"/>
        <v>64242.91</v>
      </c>
      <c r="AI742" s="286">
        <f t="shared" si="3393"/>
        <v>0</v>
      </c>
      <c r="AJ742" s="286">
        <f t="shared" si="3393"/>
        <v>228.6</v>
      </c>
      <c r="AK742" s="286">
        <f t="shared" si="3393"/>
        <v>68622.81</v>
      </c>
      <c r="AL742" s="286">
        <f t="shared" si="3393"/>
        <v>0</v>
      </c>
      <c r="AM742" s="286">
        <f t="shared" si="3393"/>
        <v>0</v>
      </c>
      <c r="AN742" s="286">
        <f t="shared" si="3393"/>
        <v>0</v>
      </c>
      <c r="AO742" s="286">
        <f t="shared" si="3393"/>
        <v>0</v>
      </c>
      <c r="AP742" s="286">
        <f t="shared" si="3393"/>
        <v>52139.29</v>
      </c>
      <c r="AQ742" s="286">
        <f t="shared" si="3393"/>
        <v>38755.89</v>
      </c>
      <c r="AR742" s="286">
        <f t="shared" si="3393"/>
        <v>0</v>
      </c>
      <c r="AS742" s="286">
        <f t="shared" si="3393"/>
        <v>0</v>
      </c>
      <c r="AT742" s="286">
        <f t="shared" si="3393"/>
        <v>0</v>
      </c>
      <c r="AU742" s="286">
        <f t="shared" si="3393"/>
        <v>0</v>
      </c>
      <c r="AV742" s="286">
        <f t="shared" si="3393"/>
        <v>33122.78</v>
      </c>
      <c r="AW742" s="286">
        <f t="shared" si="3393"/>
        <v>0</v>
      </c>
      <c r="AX742" s="286">
        <f t="shared" si="3393"/>
        <v>28455.78</v>
      </c>
      <c r="AY742" s="286">
        <f t="shared" si="3393"/>
        <v>2984.6400000000003</v>
      </c>
      <c r="AZ742" s="286">
        <f t="shared" si="3393"/>
        <v>0</v>
      </c>
      <c r="BA742" s="286">
        <f t="shared" si="3393"/>
        <v>0</v>
      </c>
      <c r="BB742" s="286">
        <f t="shared" si="3393"/>
        <v>51168.56</v>
      </c>
      <c r="BC742" s="286">
        <f t="shared" si="3393"/>
        <v>0</v>
      </c>
      <c r="BD742" s="286">
        <f t="shared" si="3393"/>
        <v>43748.13</v>
      </c>
      <c r="BE742" s="286">
        <f t="shared" si="3393"/>
        <v>251.78</v>
      </c>
      <c r="BF742" s="286">
        <f t="shared" si="3393"/>
        <v>0</v>
      </c>
      <c r="BG742" s="286">
        <f t="shared" si="3393"/>
        <v>41410.79</v>
      </c>
      <c r="BH742" s="286">
        <f t="shared" si="3393"/>
        <v>0</v>
      </c>
      <c r="BI742" s="286">
        <f t="shared" si="3393"/>
        <v>0</v>
      </c>
      <c r="BJ742" s="286">
        <f t="shared" si="3393"/>
        <v>44007.64</v>
      </c>
      <c r="BK742" s="286">
        <f t="shared" si="3393"/>
        <v>140741.70000000001</v>
      </c>
      <c r="BL742" s="286">
        <f t="shared" si="3393"/>
        <v>235542.61</v>
      </c>
      <c r="BM742" s="286">
        <f t="shared" si="3393"/>
        <v>157622.34</v>
      </c>
      <c r="BN742" s="286">
        <f t="shared" si="3393"/>
        <v>0</v>
      </c>
      <c r="BO742" s="286">
        <f t="shared" si="3393"/>
        <v>2.9103830456733704E-11</v>
      </c>
      <c r="BP742" s="286">
        <f t="shared" si="3393"/>
        <v>2.9103830456733704E-11</v>
      </c>
      <c r="BQ742" s="286">
        <f t="shared" si="3393"/>
        <v>17697.57</v>
      </c>
      <c r="BR742" s="286">
        <f t="shared" si="3393"/>
        <v>25889.09999999998</v>
      </c>
      <c r="BS742" s="286">
        <f t="shared" si="3393"/>
        <v>43586.669999999984</v>
      </c>
      <c r="BT742" s="286">
        <f t="shared" si="3393"/>
        <v>0</v>
      </c>
      <c r="BU742" s="286">
        <f t="shared" si="3393"/>
        <v>2.9103830456733704E-11</v>
      </c>
      <c r="BV742" s="286">
        <f t="shared" si="3393"/>
        <v>43586.669999999984</v>
      </c>
      <c r="BW742" s="286">
        <f t="shared" si="3393"/>
        <v>43586.670000000013</v>
      </c>
      <c r="BX742" s="1"/>
      <c r="BY742" s="1"/>
      <c r="BZ742" s="1"/>
      <c r="CA742" s="1"/>
      <c r="CB742" s="1"/>
      <c r="CC742" s="1"/>
      <c r="CD742" s="1"/>
      <c r="CE742" s="1"/>
      <c r="CF742" s="1"/>
      <c r="CG742" s="1"/>
    </row>
    <row r="743" spans="1:85" ht="15.75">
      <c r="A743" s="270"/>
      <c r="B743" s="271"/>
      <c r="C743" s="272"/>
      <c r="D743" s="112" t="s">
        <v>1151</v>
      </c>
      <c r="E743" s="286">
        <f t="shared" ref="E743:H743" si="3394">E108+E237+E255+E323+E714</f>
        <v>195721.63</v>
      </c>
      <c r="F743" s="286">
        <f t="shared" si="3394"/>
        <v>60721.63</v>
      </c>
      <c r="G743" s="286">
        <f t="shared" si="3394"/>
        <v>135000</v>
      </c>
      <c r="H743" s="286">
        <f t="shared" si="3394"/>
        <v>0</v>
      </c>
      <c r="I743" s="287">
        <f t="shared" si="3365"/>
        <v>1.275666074074074</v>
      </c>
      <c r="J743" s="287">
        <f t="shared" si="3366"/>
        <v>1.0614712592592592</v>
      </c>
      <c r="K743" s="286">
        <f t="shared" ref="K743:W743" si="3395">K108+K237+K255+K323+K714</f>
        <v>172214.91999999998</v>
      </c>
      <c r="L743" s="286">
        <f t="shared" si="3395"/>
        <v>38612.71</v>
      </c>
      <c r="M743" s="286">
        <f t="shared" si="3395"/>
        <v>0</v>
      </c>
      <c r="N743" s="286">
        <f t="shared" si="3395"/>
        <v>0</v>
      </c>
      <c r="O743" s="286">
        <f t="shared" si="3395"/>
        <v>143298.62</v>
      </c>
      <c r="P743" s="286">
        <f t="shared" si="3395"/>
        <v>38612.71</v>
      </c>
      <c r="Q743" s="286">
        <f t="shared" si="3395"/>
        <v>0</v>
      </c>
      <c r="R743" s="286">
        <f t="shared" si="3395"/>
        <v>143298.62</v>
      </c>
      <c r="S743" s="286">
        <f t="shared" si="3395"/>
        <v>38612.710000000006</v>
      </c>
      <c r="T743" s="286">
        <f t="shared" si="3395"/>
        <v>0</v>
      </c>
      <c r="U743" s="286">
        <f t="shared" si="3395"/>
        <v>28916.3</v>
      </c>
      <c r="V743" s="286">
        <f t="shared" si="3395"/>
        <v>0</v>
      </c>
      <c r="W743" s="286">
        <f t="shared" si="3395"/>
        <v>0</v>
      </c>
      <c r="X743" s="288">
        <f t="shared" ref="X743:Y743" si="3396">IF(O743&gt;0,O743/K743,0)</f>
        <v>0.83209178391744465</v>
      </c>
      <c r="Y743" s="288">
        <f t="shared" si="3396"/>
        <v>1</v>
      </c>
      <c r="Z743" s="288">
        <f t="shared" si="3358"/>
        <v>0</v>
      </c>
      <c r="AA743" s="286">
        <f t="shared" ref="AA743:BW743" si="3397">AA108+AA237+AA255+AA323+AA714</f>
        <v>0</v>
      </c>
      <c r="AB743" s="286">
        <f t="shared" si="3397"/>
        <v>2185.42</v>
      </c>
      <c r="AC743" s="286">
        <f t="shared" si="3397"/>
        <v>0</v>
      </c>
      <c r="AD743" s="286">
        <f t="shared" si="3397"/>
        <v>0</v>
      </c>
      <c r="AE743" s="286">
        <f t="shared" si="3397"/>
        <v>20456.09</v>
      </c>
      <c r="AF743" s="286">
        <f t="shared" si="3397"/>
        <v>0</v>
      </c>
      <c r="AG743" s="286">
        <f t="shared" si="3397"/>
        <v>0</v>
      </c>
      <c r="AH743" s="286">
        <f t="shared" si="3397"/>
        <v>1196.7999999999993</v>
      </c>
      <c r="AI743" s="286">
        <f t="shared" si="3397"/>
        <v>0</v>
      </c>
      <c r="AJ743" s="286">
        <f t="shared" si="3397"/>
        <v>53309.89</v>
      </c>
      <c r="AK743" s="286">
        <f t="shared" si="3397"/>
        <v>7976.24</v>
      </c>
      <c r="AL743" s="286">
        <f t="shared" si="3397"/>
        <v>0</v>
      </c>
      <c r="AM743" s="286">
        <f t="shared" si="3397"/>
        <v>8786.11</v>
      </c>
      <c r="AN743" s="286">
        <f t="shared" si="3397"/>
        <v>1924.56</v>
      </c>
      <c r="AO743" s="286">
        <f t="shared" si="3397"/>
        <v>0</v>
      </c>
      <c r="AP743" s="286">
        <f t="shared" si="3397"/>
        <v>22622.34</v>
      </c>
      <c r="AQ743" s="286">
        <f t="shared" si="3397"/>
        <v>554.52</v>
      </c>
      <c r="AR743" s="286">
        <f t="shared" si="3397"/>
        <v>0</v>
      </c>
      <c r="AS743" s="286">
        <f t="shared" si="3397"/>
        <v>4923.3900000000003</v>
      </c>
      <c r="AT743" s="286">
        <f t="shared" si="3397"/>
        <v>554.52</v>
      </c>
      <c r="AU743" s="286">
        <f t="shared" si="3397"/>
        <v>0</v>
      </c>
      <c r="AV743" s="286">
        <f t="shared" si="3397"/>
        <v>13844.71</v>
      </c>
      <c r="AW743" s="286">
        <f t="shared" si="3397"/>
        <v>2655.52</v>
      </c>
      <c r="AX743" s="286">
        <f t="shared" si="3397"/>
        <v>0</v>
      </c>
      <c r="AY743" s="286">
        <f t="shared" si="3397"/>
        <v>9124.7800000000007</v>
      </c>
      <c r="AZ743" s="286">
        <f t="shared" si="3397"/>
        <v>554.52</v>
      </c>
      <c r="BA743" s="286">
        <f t="shared" si="3397"/>
        <v>0</v>
      </c>
      <c r="BB743" s="286">
        <f t="shared" si="3397"/>
        <v>6069.82</v>
      </c>
      <c r="BC743" s="286">
        <f t="shared" si="3397"/>
        <v>554.52</v>
      </c>
      <c r="BD743" s="286">
        <f t="shared" si="3397"/>
        <v>0</v>
      </c>
      <c r="BE743" s="286">
        <f t="shared" si="3397"/>
        <v>6827.84</v>
      </c>
      <c r="BF743" s="286">
        <f t="shared" si="3397"/>
        <v>0</v>
      </c>
      <c r="BG743" s="286">
        <f t="shared" si="3397"/>
        <v>0</v>
      </c>
      <c r="BH743" s="286">
        <f t="shared" si="3397"/>
        <v>17789.739999999998</v>
      </c>
      <c r="BI743" s="286">
        <f t="shared" si="3397"/>
        <v>0</v>
      </c>
      <c r="BJ743" s="286">
        <f t="shared" si="3397"/>
        <v>0</v>
      </c>
      <c r="BK743" s="286">
        <f t="shared" si="3397"/>
        <v>143298.62</v>
      </c>
      <c r="BL743" s="286">
        <f t="shared" si="3397"/>
        <v>13796.900000000001</v>
      </c>
      <c r="BM743" s="286">
        <f t="shared" si="3397"/>
        <v>0</v>
      </c>
      <c r="BN743" s="286">
        <f t="shared" si="3397"/>
        <v>3.637978807091713E-12</v>
      </c>
      <c r="BO743" s="286">
        <f t="shared" si="3397"/>
        <v>0</v>
      </c>
      <c r="BP743" s="286">
        <f t="shared" si="3397"/>
        <v>3.637978807091713E-12</v>
      </c>
      <c r="BQ743" s="286">
        <f t="shared" si="3397"/>
        <v>28916.3</v>
      </c>
      <c r="BR743" s="286">
        <f t="shared" si="3397"/>
        <v>0</v>
      </c>
      <c r="BS743" s="286">
        <f t="shared" si="3397"/>
        <v>28916.3</v>
      </c>
      <c r="BT743" s="286">
        <f t="shared" si="3397"/>
        <v>0</v>
      </c>
      <c r="BU743" s="286">
        <f t="shared" si="3397"/>
        <v>3.637978807091713E-12</v>
      </c>
      <c r="BV743" s="286">
        <f t="shared" si="3397"/>
        <v>28916.3</v>
      </c>
      <c r="BW743" s="286">
        <f t="shared" si="3397"/>
        <v>28916.300000000003</v>
      </c>
      <c r="BX743" s="1"/>
      <c r="BY743" s="1"/>
      <c r="BZ743" s="1"/>
      <c r="CA743" s="1"/>
      <c r="CB743" s="1"/>
      <c r="CC743" s="1"/>
      <c r="CD743" s="1"/>
      <c r="CE743" s="1"/>
      <c r="CF743" s="1"/>
      <c r="CG743" s="1"/>
    </row>
    <row r="744" spans="1:85" ht="15.75" customHeight="1">
      <c r="A744" s="518"/>
      <c r="B744" s="519"/>
      <c r="C744" s="520"/>
      <c r="D744" s="521" t="s">
        <v>344</v>
      </c>
      <c r="E744" s="522">
        <f t="shared" ref="E744:H744" si="3398">E113+E202+E325+E459+E469+E479+E493+E524</f>
        <v>19254.609999999997</v>
      </c>
      <c r="F744" s="522">
        <f t="shared" si="3398"/>
        <v>6288.65</v>
      </c>
      <c r="G744" s="522">
        <f t="shared" si="3398"/>
        <v>12965.96</v>
      </c>
      <c r="H744" s="522">
        <f t="shared" si="3398"/>
        <v>10000</v>
      </c>
      <c r="I744" s="523">
        <f>IF(G744&gt;0,K744/G744,0)</f>
        <v>0.844322364097992</v>
      </c>
      <c r="J744" s="523">
        <f>IF(G744&gt;0,O744/G744,0)</f>
        <v>0.80649948017732587</v>
      </c>
      <c r="K744" s="524">
        <f t="shared" ref="K744:W744" si="3399">K113+K202+K325+K459+K469+K479+K493+K524</f>
        <v>10947.449999999999</v>
      </c>
      <c r="L744" s="522">
        <f t="shared" si="3399"/>
        <v>2113.5700000000002</v>
      </c>
      <c r="M744" s="522">
        <f t="shared" si="3399"/>
        <v>0</v>
      </c>
      <c r="N744" s="524">
        <f t="shared" si="3399"/>
        <v>0</v>
      </c>
      <c r="O744" s="522">
        <f t="shared" si="3399"/>
        <v>10457.039999999999</v>
      </c>
      <c r="P744" s="522">
        <f t="shared" si="3399"/>
        <v>2113.5699999999997</v>
      </c>
      <c r="Q744" s="522">
        <f t="shared" si="3399"/>
        <v>0</v>
      </c>
      <c r="R744" s="522">
        <f t="shared" si="3399"/>
        <v>10457.039999999999</v>
      </c>
      <c r="S744" s="522">
        <f t="shared" si="3399"/>
        <v>2113.5700000000002</v>
      </c>
      <c r="T744" s="522">
        <f t="shared" si="3399"/>
        <v>0</v>
      </c>
      <c r="U744" s="522">
        <f t="shared" si="3399"/>
        <v>490.40999999999985</v>
      </c>
      <c r="V744" s="522">
        <f t="shared" si="3399"/>
        <v>0</v>
      </c>
      <c r="W744" s="522">
        <f t="shared" si="3399"/>
        <v>0</v>
      </c>
      <c r="X744" s="525">
        <f t="shared" ref="X744:Y744" si="3400">IF(O744&gt;0,O744/K744,0)</f>
        <v>0.95520326651411969</v>
      </c>
      <c r="Y744" s="525">
        <f t="shared" si="3400"/>
        <v>0.99999999999999978</v>
      </c>
      <c r="Z744" s="525">
        <f>IF(Q744&gt;0,Q744/N744,0)</f>
        <v>0</v>
      </c>
      <c r="AA744" s="522">
        <f t="shared" ref="AA744:BW744" si="3401">AA113+AA202+AA325+AA459+AA469+AA479+AA493+AA524</f>
        <v>0</v>
      </c>
      <c r="AB744" s="522">
        <f t="shared" si="3401"/>
        <v>497.8</v>
      </c>
      <c r="AC744" s="522">
        <f t="shared" si="3401"/>
        <v>0</v>
      </c>
      <c r="AD744" s="522">
        <f t="shared" si="3401"/>
        <v>0</v>
      </c>
      <c r="AE744" s="522">
        <f t="shared" si="3401"/>
        <v>95.24</v>
      </c>
      <c r="AF744" s="522">
        <f t="shared" si="3401"/>
        <v>0</v>
      </c>
      <c r="AG744" s="522">
        <f t="shared" si="3401"/>
        <v>0</v>
      </c>
      <c r="AH744" s="522">
        <f t="shared" si="3401"/>
        <v>126.5</v>
      </c>
      <c r="AI744" s="522">
        <f t="shared" si="3401"/>
        <v>0</v>
      </c>
      <c r="AJ744" s="522">
        <f t="shared" si="3401"/>
        <v>0</v>
      </c>
      <c r="AK744" s="522">
        <f t="shared" si="3401"/>
        <v>169.79</v>
      </c>
      <c r="AL744" s="522">
        <f t="shared" si="3401"/>
        <v>0</v>
      </c>
      <c r="AM744" s="522">
        <f t="shared" si="3401"/>
        <v>0</v>
      </c>
      <c r="AN744" s="522">
        <f t="shared" si="3401"/>
        <v>129.54</v>
      </c>
      <c r="AO744" s="522">
        <f t="shared" si="3401"/>
        <v>0</v>
      </c>
      <c r="AP744" s="522">
        <f t="shared" si="3401"/>
        <v>0</v>
      </c>
      <c r="AQ744" s="522">
        <f t="shared" si="3401"/>
        <v>419.87</v>
      </c>
      <c r="AR744" s="522">
        <f t="shared" si="3401"/>
        <v>0</v>
      </c>
      <c r="AS744" s="522">
        <f t="shared" si="3401"/>
        <v>0</v>
      </c>
      <c r="AT744" s="522">
        <f t="shared" si="3401"/>
        <v>63.76</v>
      </c>
      <c r="AU744" s="522">
        <f t="shared" si="3401"/>
        <v>0</v>
      </c>
      <c r="AV744" s="522">
        <f t="shared" si="3401"/>
        <v>0</v>
      </c>
      <c r="AW744" s="522">
        <f t="shared" si="3401"/>
        <v>211.75</v>
      </c>
      <c r="AX744" s="522">
        <f t="shared" si="3401"/>
        <v>0</v>
      </c>
      <c r="AY744" s="522">
        <f t="shared" si="3401"/>
        <v>73.08</v>
      </c>
      <c r="AZ744" s="522">
        <f t="shared" si="3401"/>
        <v>154.29</v>
      </c>
      <c r="BA744" s="522">
        <f t="shared" si="3401"/>
        <v>0</v>
      </c>
      <c r="BB744" s="522">
        <f t="shared" si="3401"/>
        <v>8746.25</v>
      </c>
      <c r="BC744" s="522">
        <f t="shared" si="3401"/>
        <v>245.03</v>
      </c>
      <c r="BD744" s="522">
        <f t="shared" si="3401"/>
        <v>0</v>
      </c>
      <c r="BE744" s="522">
        <f t="shared" si="3401"/>
        <v>1479.21</v>
      </c>
      <c r="BF744" s="522">
        <f t="shared" si="3401"/>
        <v>0</v>
      </c>
      <c r="BG744" s="522">
        <f t="shared" si="3401"/>
        <v>0</v>
      </c>
      <c r="BH744" s="522">
        <f t="shared" si="3401"/>
        <v>158.5</v>
      </c>
      <c r="BI744" s="522">
        <f t="shared" si="3401"/>
        <v>0</v>
      </c>
      <c r="BJ744" s="522">
        <f t="shared" si="3401"/>
        <v>0</v>
      </c>
      <c r="BK744" s="522">
        <f t="shared" si="3401"/>
        <v>10457.039999999999</v>
      </c>
      <c r="BL744" s="522">
        <f t="shared" si="3401"/>
        <v>2113.5700000000002</v>
      </c>
      <c r="BM744" s="522">
        <f t="shared" si="3401"/>
        <v>0</v>
      </c>
      <c r="BN744" s="522">
        <f t="shared" si="3401"/>
        <v>0</v>
      </c>
      <c r="BO744" s="522">
        <f t="shared" si="3401"/>
        <v>0</v>
      </c>
      <c r="BP744" s="522">
        <f t="shared" si="3401"/>
        <v>0</v>
      </c>
      <c r="BQ744" s="522">
        <f t="shared" si="3401"/>
        <v>490.40999999999985</v>
      </c>
      <c r="BR744" s="522">
        <f t="shared" si="3401"/>
        <v>0</v>
      </c>
      <c r="BS744" s="522">
        <f t="shared" si="3401"/>
        <v>490.40999999999985</v>
      </c>
      <c r="BT744" s="522">
        <f t="shared" si="3401"/>
        <v>0</v>
      </c>
      <c r="BU744" s="522">
        <f t="shared" si="3401"/>
        <v>0</v>
      </c>
      <c r="BV744" s="522">
        <f t="shared" si="3401"/>
        <v>490.40999999999985</v>
      </c>
      <c r="BW744" s="522">
        <f t="shared" si="3401"/>
        <v>490.40999999999985</v>
      </c>
      <c r="BX744" s="526"/>
      <c r="BY744" s="526"/>
      <c r="BZ744" s="526"/>
      <c r="CA744" s="526"/>
      <c r="CB744" s="526"/>
      <c r="CC744" s="526"/>
      <c r="CD744" s="526"/>
      <c r="CE744" s="526"/>
      <c r="CF744" s="526"/>
      <c r="CG744" s="526"/>
    </row>
    <row r="745" spans="1:85" ht="15.75">
      <c r="A745" s="270"/>
      <c r="B745" s="271"/>
      <c r="C745" s="272"/>
      <c r="D745" s="112" t="s">
        <v>357</v>
      </c>
      <c r="E745" s="286">
        <f t="shared" ref="E745:H745" si="3402">E118+E287+E418+E655</f>
        <v>0</v>
      </c>
      <c r="F745" s="286">
        <f t="shared" si="3402"/>
        <v>0</v>
      </c>
      <c r="G745" s="286">
        <f t="shared" si="3402"/>
        <v>0</v>
      </c>
      <c r="H745" s="286">
        <f t="shared" si="3402"/>
        <v>0</v>
      </c>
      <c r="I745" s="287">
        <f t="shared" ref="I745:I747" si="3403">IF(G745&gt;0,K745/G745,0)</f>
        <v>0</v>
      </c>
      <c r="J745" s="287">
        <f t="shared" ref="J745:J747" si="3404">IF(G745&gt;0,O745/G745,0)</f>
        <v>0</v>
      </c>
      <c r="K745" s="286">
        <f t="shared" ref="K745:W745" si="3405">K118+K287+K418+K655</f>
        <v>12083.410000000002</v>
      </c>
      <c r="L745" s="286">
        <f t="shared" si="3405"/>
        <v>12120</v>
      </c>
      <c r="M745" s="286">
        <f t="shared" si="3405"/>
        <v>0</v>
      </c>
      <c r="N745" s="286">
        <f t="shared" si="3405"/>
        <v>1532.71</v>
      </c>
      <c r="O745" s="286">
        <f t="shared" si="3405"/>
        <v>12083.41</v>
      </c>
      <c r="P745" s="286">
        <f t="shared" si="3405"/>
        <v>0</v>
      </c>
      <c r="Q745" s="286">
        <f t="shared" si="3405"/>
        <v>1532.71</v>
      </c>
      <c r="R745" s="286">
        <f t="shared" si="3405"/>
        <v>12083.41</v>
      </c>
      <c r="S745" s="286">
        <f t="shared" si="3405"/>
        <v>0</v>
      </c>
      <c r="T745" s="286">
        <f t="shared" si="3405"/>
        <v>1532.71</v>
      </c>
      <c r="U745" s="286">
        <f t="shared" si="3405"/>
        <v>0</v>
      </c>
      <c r="V745" s="286">
        <f t="shared" si="3405"/>
        <v>12120</v>
      </c>
      <c r="W745" s="286">
        <f t="shared" si="3405"/>
        <v>0</v>
      </c>
      <c r="X745" s="288">
        <f t="shared" ref="X745:Y745" si="3406">IF(O745&gt;0,O745/K745,0)</f>
        <v>0.99999999999999989</v>
      </c>
      <c r="Y745" s="288">
        <f t="shared" si="3406"/>
        <v>0</v>
      </c>
      <c r="Z745" s="288">
        <f t="shared" ref="Z745:Z747" si="3407">IF(Q745&gt;0,Q745/N745,0)</f>
        <v>1</v>
      </c>
      <c r="AA745" s="286">
        <f t="shared" ref="AA745:BW745" si="3408">AA118+AA287+AA418+AA655</f>
        <v>0</v>
      </c>
      <c r="AB745" s="286">
        <f t="shared" si="3408"/>
        <v>0</v>
      </c>
      <c r="AC745" s="286">
        <f t="shared" si="3408"/>
        <v>0</v>
      </c>
      <c r="AD745" s="286">
        <f t="shared" si="3408"/>
        <v>940</v>
      </c>
      <c r="AE745" s="286">
        <f t="shared" si="3408"/>
        <v>0</v>
      </c>
      <c r="AF745" s="286">
        <f t="shared" si="3408"/>
        <v>0</v>
      </c>
      <c r="AG745" s="286">
        <f t="shared" si="3408"/>
        <v>573.45000000000005</v>
      </c>
      <c r="AH745" s="286">
        <f t="shared" si="3408"/>
        <v>0</v>
      </c>
      <c r="AI745" s="286">
        <f t="shared" si="3408"/>
        <v>396.52</v>
      </c>
      <c r="AJ745" s="286">
        <f t="shared" si="3408"/>
        <v>1047.5</v>
      </c>
      <c r="AK745" s="286">
        <f t="shared" si="3408"/>
        <v>0</v>
      </c>
      <c r="AL745" s="286">
        <f t="shared" si="3408"/>
        <v>0</v>
      </c>
      <c r="AM745" s="286">
        <f t="shared" si="3408"/>
        <v>1486.2</v>
      </c>
      <c r="AN745" s="286">
        <f t="shared" si="3408"/>
        <v>0</v>
      </c>
      <c r="AO745" s="286">
        <f t="shared" si="3408"/>
        <v>736.19</v>
      </c>
      <c r="AP745" s="286">
        <f t="shared" si="3408"/>
        <v>1021.44</v>
      </c>
      <c r="AQ745" s="286">
        <f t="shared" si="3408"/>
        <v>0</v>
      </c>
      <c r="AR745" s="286">
        <f t="shared" si="3408"/>
        <v>0</v>
      </c>
      <c r="AS745" s="286">
        <f t="shared" si="3408"/>
        <v>1796.96</v>
      </c>
      <c r="AT745" s="286">
        <f t="shared" si="3408"/>
        <v>0</v>
      </c>
      <c r="AU745" s="286">
        <f t="shared" si="3408"/>
        <v>0</v>
      </c>
      <c r="AV745" s="286">
        <f t="shared" si="3408"/>
        <v>494.48</v>
      </c>
      <c r="AW745" s="286">
        <f t="shared" si="3408"/>
        <v>0</v>
      </c>
      <c r="AX745" s="286">
        <f t="shared" si="3408"/>
        <v>400</v>
      </c>
      <c r="AY745" s="286">
        <f t="shared" si="3408"/>
        <v>857.42</v>
      </c>
      <c r="AZ745" s="286">
        <f t="shared" si="3408"/>
        <v>0</v>
      </c>
      <c r="BA745" s="286">
        <f t="shared" si="3408"/>
        <v>0</v>
      </c>
      <c r="BB745" s="286">
        <f t="shared" si="3408"/>
        <v>547.1</v>
      </c>
      <c r="BC745" s="286">
        <f t="shared" si="3408"/>
        <v>0</v>
      </c>
      <c r="BD745" s="286">
        <f t="shared" si="3408"/>
        <v>0</v>
      </c>
      <c r="BE745" s="286">
        <f t="shared" si="3408"/>
        <v>3318.86</v>
      </c>
      <c r="BF745" s="286">
        <f t="shared" si="3408"/>
        <v>0</v>
      </c>
      <c r="BG745" s="286">
        <f t="shared" si="3408"/>
        <v>0</v>
      </c>
      <c r="BH745" s="286">
        <f t="shared" si="3408"/>
        <v>0</v>
      </c>
      <c r="BI745" s="286">
        <f t="shared" si="3408"/>
        <v>0</v>
      </c>
      <c r="BJ745" s="286">
        <f t="shared" si="3408"/>
        <v>0</v>
      </c>
      <c r="BK745" s="286">
        <f t="shared" si="3408"/>
        <v>12083.41</v>
      </c>
      <c r="BL745" s="286">
        <f t="shared" si="3408"/>
        <v>0</v>
      </c>
      <c r="BM745" s="286">
        <f t="shared" si="3408"/>
        <v>1532.71</v>
      </c>
      <c r="BN745" s="286">
        <f t="shared" si="3408"/>
        <v>0</v>
      </c>
      <c r="BO745" s="286">
        <f t="shared" si="3408"/>
        <v>0</v>
      </c>
      <c r="BP745" s="286">
        <f t="shared" si="3408"/>
        <v>0</v>
      </c>
      <c r="BQ745" s="286">
        <f t="shared" si="3408"/>
        <v>0</v>
      </c>
      <c r="BR745" s="286">
        <f t="shared" si="3408"/>
        <v>0</v>
      </c>
      <c r="BS745" s="286">
        <f t="shared" si="3408"/>
        <v>0</v>
      </c>
      <c r="BT745" s="286">
        <f t="shared" si="3408"/>
        <v>12120</v>
      </c>
      <c r="BU745" s="286">
        <f t="shared" si="3408"/>
        <v>0</v>
      </c>
      <c r="BV745" s="286">
        <f t="shared" si="3408"/>
        <v>0</v>
      </c>
      <c r="BW745" s="286">
        <f t="shared" si="3408"/>
        <v>12120</v>
      </c>
      <c r="BX745" s="1"/>
      <c r="BY745" s="1"/>
      <c r="BZ745" s="1"/>
      <c r="CA745" s="1"/>
      <c r="CB745" s="1"/>
      <c r="CC745" s="1"/>
      <c r="CD745" s="1"/>
      <c r="CE745" s="1"/>
      <c r="CF745" s="1"/>
      <c r="CG745" s="1"/>
    </row>
    <row r="746" spans="1:85" ht="15.75">
      <c r="A746" s="270"/>
      <c r="B746" s="271"/>
      <c r="C746" s="272"/>
      <c r="D746" s="112" t="s">
        <v>383</v>
      </c>
      <c r="E746" s="286">
        <f t="shared" ref="E746:H746" si="3409">E120+E137+E667</f>
        <v>0</v>
      </c>
      <c r="F746" s="286">
        <f t="shared" si="3409"/>
        <v>0</v>
      </c>
      <c r="G746" s="286">
        <f t="shared" si="3409"/>
        <v>0</v>
      </c>
      <c r="H746" s="286">
        <f t="shared" si="3409"/>
        <v>6220000</v>
      </c>
      <c r="I746" s="287">
        <f t="shared" si="3403"/>
        <v>0</v>
      </c>
      <c r="J746" s="287">
        <f t="shared" si="3404"/>
        <v>0</v>
      </c>
      <c r="K746" s="286">
        <f t="shared" ref="K746:W746" si="3410">K120+K137+K667</f>
        <v>232933.99</v>
      </c>
      <c r="L746" s="286">
        <f t="shared" si="3410"/>
        <v>0</v>
      </c>
      <c r="M746" s="286">
        <f t="shared" si="3410"/>
        <v>0</v>
      </c>
      <c r="N746" s="286">
        <f t="shared" si="3410"/>
        <v>0</v>
      </c>
      <c r="O746" s="286">
        <f t="shared" si="3410"/>
        <v>232933.99</v>
      </c>
      <c r="P746" s="286">
        <f t="shared" si="3410"/>
        <v>0</v>
      </c>
      <c r="Q746" s="286">
        <f t="shared" si="3410"/>
        <v>0</v>
      </c>
      <c r="R746" s="286">
        <f t="shared" si="3410"/>
        <v>232933.99</v>
      </c>
      <c r="S746" s="286">
        <f t="shared" si="3410"/>
        <v>0</v>
      </c>
      <c r="T746" s="286">
        <f t="shared" si="3410"/>
        <v>0</v>
      </c>
      <c r="U746" s="286">
        <f t="shared" si="3410"/>
        <v>0</v>
      </c>
      <c r="V746" s="286">
        <f t="shared" si="3410"/>
        <v>0</v>
      </c>
      <c r="W746" s="286">
        <f t="shared" si="3410"/>
        <v>0</v>
      </c>
      <c r="X746" s="288">
        <f t="shared" ref="X746:Y746" si="3411">IF(O746&gt;0,O746/K746,0)</f>
        <v>1</v>
      </c>
      <c r="Y746" s="288">
        <f t="shared" si="3411"/>
        <v>0</v>
      </c>
      <c r="Z746" s="288">
        <f t="shared" si="3407"/>
        <v>0</v>
      </c>
      <c r="AA746" s="286">
        <f t="shared" ref="AA746:BW746" si="3412">AA120+AA137+AA667</f>
        <v>0</v>
      </c>
      <c r="AB746" s="286">
        <f t="shared" si="3412"/>
        <v>0</v>
      </c>
      <c r="AC746" s="286">
        <f t="shared" si="3412"/>
        <v>0</v>
      </c>
      <c r="AD746" s="286">
        <f t="shared" si="3412"/>
        <v>0</v>
      </c>
      <c r="AE746" s="286">
        <f t="shared" si="3412"/>
        <v>0</v>
      </c>
      <c r="AF746" s="286">
        <f t="shared" si="3412"/>
        <v>0</v>
      </c>
      <c r="AG746" s="286">
        <f t="shared" si="3412"/>
        <v>0</v>
      </c>
      <c r="AH746" s="286">
        <f t="shared" si="3412"/>
        <v>0</v>
      </c>
      <c r="AI746" s="286">
        <f t="shared" si="3412"/>
        <v>0</v>
      </c>
      <c r="AJ746" s="286">
        <f t="shared" si="3412"/>
        <v>0</v>
      </c>
      <c r="AK746" s="286">
        <f t="shared" si="3412"/>
        <v>0</v>
      </c>
      <c r="AL746" s="286">
        <f t="shared" si="3412"/>
        <v>0</v>
      </c>
      <c r="AM746" s="286">
        <f t="shared" si="3412"/>
        <v>0</v>
      </c>
      <c r="AN746" s="286">
        <f t="shared" si="3412"/>
        <v>0</v>
      </c>
      <c r="AO746" s="286">
        <f t="shared" si="3412"/>
        <v>0</v>
      </c>
      <c r="AP746" s="286">
        <f t="shared" si="3412"/>
        <v>0</v>
      </c>
      <c r="AQ746" s="286">
        <f t="shared" si="3412"/>
        <v>0</v>
      </c>
      <c r="AR746" s="286">
        <f t="shared" si="3412"/>
        <v>0</v>
      </c>
      <c r="AS746" s="286">
        <f t="shared" si="3412"/>
        <v>0</v>
      </c>
      <c r="AT746" s="286">
        <f t="shared" si="3412"/>
        <v>0</v>
      </c>
      <c r="AU746" s="286">
        <f t="shared" si="3412"/>
        <v>0</v>
      </c>
      <c r="AV746" s="286">
        <f t="shared" si="3412"/>
        <v>0</v>
      </c>
      <c r="AW746" s="286">
        <f t="shared" si="3412"/>
        <v>0</v>
      </c>
      <c r="AX746" s="286">
        <f t="shared" si="3412"/>
        <v>0</v>
      </c>
      <c r="AY746" s="286">
        <f t="shared" si="3412"/>
        <v>189313.25</v>
      </c>
      <c r="AZ746" s="286">
        <f t="shared" si="3412"/>
        <v>0</v>
      </c>
      <c r="BA746" s="286">
        <f t="shared" si="3412"/>
        <v>0</v>
      </c>
      <c r="BB746" s="286">
        <f t="shared" si="3412"/>
        <v>43620.74</v>
      </c>
      <c r="BC746" s="286">
        <f t="shared" si="3412"/>
        <v>0</v>
      </c>
      <c r="BD746" s="286">
        <f t="shared" si="3412"/>
        <v>0</v>
      </c>
      <c r="BE746" s="286">
        <f t="shared" si="3412"/>
        <v>0</v>
      </c>
      <c r="BF746" s="286">
        <f t="shared" si="3412"/>
        <v>0</v>
      </c>
      <c r="BG746" s="286">
        <f t="shared" si="3412"/>
        <v>0</v>
      </c>
      <c r="BH746" s="286">
        <f t="shared" si="3412"/>
        <v>0</v>
      </c>
      <c r="BI746" s="286">
        <f t="shared" si="3412"/>
        <v>0</v>
      </c>
      <c r="BJ746" s="286">
        <f t="shared" si="3412"/>
        <v>0</v>
      </c>
      <c r="BK746" s="286">
        <f t="shared" si="3412"/>
        <v>232933.99</v>
      </c>
      <c r="BL746" s="286">
        <f t="shared" si="3412"/>
        <v>0</v>
      </c>
      <c r="BM746" s="286">
        <f t="shared" si="3412"/>
        <v>0</v>
      </c>
      <c r="BN746" s="286">
        <f t="shared" si="3412"/>
        <v>0</v>
      </c>
      <c r="BO746" s="286">
        <f t="shared" si="3412"/>
        <v>0</v>
      </c>
      <c r="BP746" s="286">
        <f t="shared" si="3412"/>
        <v>0</v>
      </c>
      <c r="BQ746" s="286">
        <f t="shared" si="3412"/>
        <v>0</v>
      </c>
      <c r="BR746" s="286">
        <f t="shared" si="3412"/>
        <v>0</v>
      </c>
      <c r="BS746" s="286">
        <f t="shared" si="3412"/>
        <v>0</v>
      </c>
      <c r="BT746" s="286">
        <f t="shared" si="3412"/>
        <v>0</v>
      </c>
      <c r="BU746" s="286">
        <f t="shared" si="3412"/>
        <v>0</v>
      </c>
      <c r="BV746" s="286">
        <f t="shared" si="3412"/>
        <v>0</v>
      </c>
      <c r="BW746" s="286">
        <f t="shared" si="3412"/>
        <v>0</v>
      </c>
      <c r="BX746" s="1"/>
      <c r="BY746" s="1"/>
      <c r="BZ746" s="1"/>
      <c r="CA746" s="1"/>
      <c r="CB746" s="1"/>
      <c r="CC746" s="1"/>
      <c r="CD746" s="1"/>
      <c r="CE746" s="1"/>
      <c r="CF746" s="1"/>
      <c r="CG746" s="1"/>
    </row>
    <row r="747" spans="1:85" ht="15.75">
      <c r="A747" s="270"/>
      <c r="B747" s="271"/>
      <c r="C747" s="272"/>
      <c r="D747" s="112" t="s">
        <v>365</v>
      </c>
      <c r="E747" s="286">
        <f t="shared" ref="E747:H747" si="3413">E122+E148+E163+E175+E260+E263+E266+E273+E327+E420+E484+E495+E502+E508+E657+E670+E685+E704</f>
        <v>0</v>
      </c>
      <c r="F747" s="286">
        <f t="shared" si="3413"/>
        <v>0</v>
      </c>
      <c r="G747" s="286">
        <f t="shared" si="3413"/>
        <v>0</v>
      </c>
      <c r="H747" s="286">
        <f t="shared" si="3413"/>
        <v>780000</v>
      </c>
      <c r="I747" s="287">
        <f t="shared" si="3403"/>
        <v>0</v>
      </c>
      <c r="J747" s="287">
        <f t="shared" si="3404"/>
        <v>0</v>
      </c>
      <c r="K747" s="286">
        <f t="shared" ref="K747:W747" si="3414">K122+K148+K163+K175+K260+K263+K266+K273+K327+K420+K484+K495+K502+K508+K657+K670+K685+K704</f>
        <v>25700</v>
      </c>
      <c r="L747" s="286">
        <f t="shared" si="3414"/>
        <v>970198.56</v>
      </c>
      <c r="M747" s="286">
        <f t="shared" si="3414"/>
        <v>648.74</v>
      </c>
      <c r="N747" s="286">
        <f t="shared" si="3414"/>
        <v>498417.76</v>
      </c>
      <c r="O747" s="286">
        <f t="shared" si="3414"/>
        <v>25700</v>
      </c>
      <c r="P747" s="286">
        <f t="shared" si="3414"/>
        <v>749796.72000000009</v>
      </c>
      <c r="Q747" s="286">
        <f t="shared" si="3414"/>
        <v>110229.36</v>
      </c>
      <c r="R747" s="286">
        <f t="shared" si="3414"/>
        <v>25700</v>
      </c>
      <c r="S747" s="286">
        <f t="shared" si="3414"/>
        <v>749796.72000000009</v>
      </c>
      <c r="T747" s="286">
        <f t="shared" si="3414"/>
        <v>101425.3600001</v>
      </c>
      <c r="U747" s="286">
        <f t="shared" si="3414"/>
        <v>0</v>
      </c>
      <c r="V747" s="286">
        <f t="shared" si="3414"/>
        <v>219753.09999999998</v>
      </c>
      <c r="W747" s="286">
        <f t="shared" si="3414"/>
        <v>388188.4</v>
      </c>
      <c r="X747" s="288">
        <f t="shared" ref="X747:Y747" si="3415">IF(O747&gt;0,O747/K747,0)</f>
        <v>1</v>
      </c>
      <c r="Y747" s="288">
        <f t="shared" si="3415"/>
        <v>0.77282811056738743</v>
      </c>
      <c r="Z747" s="288">
        <f t="shared" si="3407"/>
        <v>0.22115857187753502</v>
      </c>
      <c r="AA747" s="286">
        <f t="shared" ref="AA747:BW747" si="3416">AA122+AA148+AA163+AA175+AA260+AA263+AA266+AA273+AA327+AA420+AA484+AA495+AA502+AA508+AA657+AA670+AA685+AA704</f>
        <v>0</v>
      </c>
      <c r="AB747" s="286">
        <f t="shared" si="3416"/>
        <v>107342.07</v>
      </c>
      <c r="AC747" s="286">
        <f t="shared" si="3416"/>
        <v>0</v>
      </c>
      <c r="AD747" s="286">
        <f t="shared" si="3416"/>
        <v>0</v>
      </c>
      <c r="AE747" s="286">
        <f t="shared" si="3416"/>
        <v>29148.23</v>
      </c>
      <c r="AF747" s="286">
        <f t="shared" si="3416"/>
        <v>0</v>
      </c>
      <c r="AG747" s="286">
        <f t="shared" si="3416"/>
        <v>0</v>
      </c>
      <c r="AH747" s="286">
        <f t="shared" si="3416"/>
        <v>398434.82</v>
      </c>
      <c r="AI747" s="286">
        <f t="shared" si="3416"/>
        <v>0</v>
      </c>
      <c r="AJ747" s="286">
        <f t="shared" si="3416"/>
        <v>0</v>
      </c>
      <c r="AK747" s="286">
        <f t="shared" si="3416"/>
        <v>61791.6</v>
      </c>
      <c r="AL747" s="286">
        <f t="shared" si="3416"/>
        <v>0</v>
      </c>
      <c r="AM747" s="286">
        <f t="shared" si="3416"/>
        <v>0</v>
      </c>
      <c r="AN747" s="286">
        <f t="shared" si="3416"/>
        <v>0</v>
      </c>
      <c r="AO747" s="286">
        <f t="shared" si="3416"/>
        <v>0</v>
      </c>
      <c r="AP747" s="286">
        <f t="shared" si="3416"/>
        <v>0</v>
      </c>
      <c r="AQ747" s="286">
        <f t="shared" si="3416"/>
        <v>0</v>
      </c>
      <c r="AR747" s="286">
        <f t="shared" si="3416"/>
        <v>0</v>
      </c>
      <c r="AS747" s="286">
        <f t="shared" si="3416"/>
        <v>0</v>
      </c>
      <c r="AT747" s="286">
        <f t="shared" si="3416"/>
        <v>0</v>
      </c>
      <c r="AU747" s="286">
        <f t="shared" si="3416"/>
        <v>44500</v>
      </c>
      <c r="AV747" s="286">
        <f t="shared" si="3416"/>
        <v>25700</v>
      </c>
      <c r="AW747" s="286">
        <f t="shared" si="3416"/>
        <v>153080</v>
      </c>
      <c r="AX747" s="286">
        <f t="shared" si="3416"/>
        <v>11932</v>
      </c>
      <c r="AY747" s="286">
        <f t="shared" si="3416"/>
        <v>0</v>
      </c>
      <c r="AZ747" s="286">
        <f t="shared" si="3416"/>
        <v>0</v>
      </c>
      <c r="BA747" s="286">
        <f t="shared" si="3416"/>
        <v>0</v>
      </c>
      <c r="BB747" s="286">
        <f t="shared" si="3416"/>
        <v>0</v>
      </c>
      <c r="BC747" s="286">
        <f t="shared" si="3416"/>
        <v>0</v>
      </c>
      <c r="BD747" s="286">
        <f t="shared" si="3416"/>
        <v>10782</v>
      </c>
      <c r="BE747" s="286">
        <f t="shared" si="3416"/>
        <v>0</v>
      </c>
      <c r="BF747" s="286">
        <f t="shared" si="3416"/>
        <v>0</v>
      </c>
      <c r="BG747" s="286">
        <f t="shared" si="3416"/>
        <v>5000</v>
      </c>
      <c r="BH747" s="286">
        <f t="shared" si="3416"/>
        <v>0</v>
      </c>
      <c r="BI747" s="286">
        <f t="shared" si="3416"/>
        <v>0</v>
      </c>
      <c r="BJ747" s="286">
        <f t="shared" si="3416"/>
        <v>38015.360000000001</v>
      </c>
      <c r="BK747" s="286">
        <f t="shared" si="3416"/>
        <v>25700</v>
      </c>
      <c r="BL747" s="286">
        <f t="shared" si="3416"/>
        <v>749796.72000000009</v>
      </c>
      <c r="BM747" s="286">
        <f t="shared" si="3416"/>
        <v>101425.3600001</v>
      </c>
      <c r="BN747" s="286">
        <f t="shared" si="3416"/>
        <v>0</v>
      </c>
      <c r="BO747" s="286">
        <f t="shared" si="3416"/>
        <v>8803.9999998999992</v>
      </c>
      <c r="BP747" s="286">
        <f t="shared" si="3416"/>
        <v>8803.9999998999992</v>
      </c>
      <c r="BQ747" s="286">
        <f t="shared" si="3416"/>
        <v>0</v>
      </c>
      <c r="BR747" s="286">
        <f t="shared" si="3416"/>
        <v>388188.4</v>
      </c>
      <c r="BS747" s="286">
        <f t="shared" si="3416"/>
        <v>388188.4</v>
      </c>
      <c r="BT747" s="286">
        <f t="shared" si="3416"/>
        <v>219753.09999999998</v>
      </c>
      <c r="BU747" s="286">
        <f t="shared" si="3416"/>
        <v>8803.9999998999992</v>
      </c>
      <c r="BV747" s="286">
        <f t="shared" si="3416"/>
        <v>388188.4</v>
      </c>
      <c r="BW747" s="286">
        <f t="shared" si="3416"/>
        <v>616745.4999999</v>
      </c>
      <c r="BX747" s="1"/>
      <c r="BY747" s="1"/>
      <c r="BZ747" s="1"/>
      <c r="CA747" s="1"/>
      <c r="CB747" s="1"/>
      <c r="CC747" s="1"/>
      <c r="CD747" s="1"/>
      <c r="CE747" s="1"/>
      <c r="CF747" s="1"/>
      <c r="CG747" s="1"/>
    </row>
    <row r="748" spans="1:85" ht="15.75" customHeight="1">
      <c r="A748" s="500"/>
      <c r="B748" s="216"/>
      <c r="C748" s="527"/>
      <c r="D748" s="216"/>
      <c r="E748" s="503"/>
      <c r="F748" s="436"/>
      <c r="G748" s="436"/>
      <c r="H748" s="503"/>
      <c r="I748" s="504"/>
      <c r="J748" s="504"/>
      <c r="K748" s="503"/>
      <c r="L748" s="505"/>
      <c r="M748" s="436"/>
      <c r="N748" s="503"/>
      <c r="O748" s="436"/>
      <c r="P748" s="436"/>
      <c r="Q748" s="436"/>
      <c r="R748" s="436"/>
      <c r="S748" s="436"/>
      <c r="T748" s="436"/>
      <c r="U748" s="503"/>
      <c r="V748" s="503"/>
      <c r="W748" s="503"/>
      <c r="X748" s="506"/>
      <c r="Y748" s="506"/>
      <c r="Z748" s="506"/>
      <c r="AA748" s="436"/>
      <c r="AB748" s="436"/>
      <c r="AC748" s="436"/>
      <c r="AD748" s="436"/>
      <c r="AE748" s="508"/>
      <c r="AF748" s="508"/>
      <c r="AG748" s="508"/>
      <c r="AH748" s="508"/>
      <c r="AI748" s="436"/>
      <c r="AJ748" s="436"/>
      <c r="AK748" s="436"/>
      <c r="AL748" s="436"/>
      <c r="AM748" s="436"/>
      <c r="AN748" s="436"/>
      <c r="AO748" s="436"/>
      <c r="AP748" s="436"/>
      <c r="AQ748" s="436"/>
      <c r="AR748" s="436"/>
      <c r="AS748" s="436"/>
      <c r="AT748" s="436"/>
      <c r="AU748" s="436"/>
      <c r="AV748" s="436"/>
      <c r="AW748" s="436"/>
      <c r="AX748" s="436"/>
      <c r="AY748" s="436"/>
      <c r="AZ748" s="436"/>
      <c r="BA748" s="436"/>
      <c r="BB748" s="436"/>
      <c r="BC748" s="436"/>
      <c r="BD748" s="436"/>
      <c r="BE748" s="436"/>
      <c r="BF748" s="436"/>
      <c r="BG748" s="436"/>
      <c r="BH748" s="436"/>
      <c r="BI748" s="436"/>
      <c r="BJ748" s="436"/>
      <c r="BK748" s="436"/>
      <c r="BL748" s="436"/>
      <c r="BM748" s="436"/>
      <c r="BN748" s="436"/>
      <c r="BO748" s="339"/>
      <c r="BP748" s="436"/>
      <c r="BQ748" s="436"/>
      <c r="BR748" s="436"/>
      <c r="BS748" s="436"/>
      <c r="BT748" s="436"/>
      <c r="BU748" s="436"/>
      <c r="BV748" s="436"/>
      <c r="BW748" s="436"/>
      <c r="BX748" s="1"/>
      <c r="BY748" s="1"/>
      <c r="BZ748" s="1"/>
      <c r="CA748" s="1"/>
      <c r="CB748" s="1"/>
      <c r="CC748" s="1"/>
      <c r="CD748" s="1"/>
      <c r="CE748" s="1"/>
      <c r="CF748" s="1"/>
      <c r="CG748" s="1"/>
    </row>
    <row r="749" spans="1:85" ht="15.75" customHeight="1">
      <c r="A749" s="500"/>
      <c r="B749" s="216"/>
      <c r="C749" s="527"/>
      <c r="D749" s="216"/>
      <c r="E749" s="503"/>
      <c r="F749" s="436"/>
      <c r="G749" s="436"/>
      <c r="H749" s="503"/>
      <c r="I749" s="504"/>
      <c r="J749" s="504"/>
      <c r="K749" s="503"/>
      <c r="L749" s="505"/>
      <c r="M749" s="436"/>
      <c r="N749" s="503"/>
      <c r="O749" s="436"/>
      <c r="P749" s="436"/>
      <c r="Q749" s="436"/>
      <c r="R749" s="436"/>
      <c r="S749" s="436"/>
      <c r="T749" s="436"/>
      <c r="U749" s="503"/>
      <c r="V749" s="503"/>
      <c r="W749" s="503"/>
      <c r="X749" s="506"/>
      <c r="Y749" s="506"/>
      <c r="Z749" s="506"/>
      <c r="AA749" s="436"/>
      <c r="AB749" s="436"/>
      <c r="AC749" s="436"/>
      <c r="AD749" s="436"/>
      <c r="AE749" s="508"/>
      <c r="AF749" s="508"/>
      <c r="AG749" s="508"/>
      <c r="AH749" s="508"/>
      <c r="AI749" s="436"/>
      <c r="AJ749" s="436"/>
      <c r="AK749" s="436"/>
      <c r="AL749" s="436"/>
      <c r="AM749" s="436"/>
      <c r="AN749" s="436"/>
      <c r="AO749" s="436"/>
      <c r="AP749" s="436"/>
      <c r="AQ749" s="436"/>
      <c r="AR749" s="436"/>
      <c r="AS749" s="436"/>
      <c r="AT749" s="436"/>
      <c r="AU749" s="436"/>
      <c r="AV749" s="436"/>
      <c r="AW749" s="436"/>
      <c r="AX749" s="436"/>
      <c r="AY749" s="436"/>
      <c r="AZ749" s="436"/>
      <c r="BA749" s="436"/>
      <c r="BB749" s="436"/>
      <c r="BC749" s="436"/>
      <c r="BD749" s="436"/>
      <c r="BE749" s="436"/>
      <c r="BF749" s="436"/>
      <c r="BG749" s="436"/>
      <c r="BH749" s="436"/>
      <c r="BI749" s="436"/>
      <c r="BJ749" s="436"/>
      <c r="BK749" s="436"/>
      <c r="BL749" s="436"/>
      <c r="BM749" s="436"/>
      <c r="BN749" s="436"/>
      <c r="BO749" s="339"/>
      <c r="BP749" s="436"/>
      <c r="BQ749" s="436"/>
      <c r="BR749" s="436"/>
      <c r="BS749" s="436"/>
      <c r="BT749" s="436"/>
      <c r="BU749" s="436"/>
      <c r="BV749" s="436"/>
      <c r="BW749" s="436"/>
      <c r="BX749" s="1"/>
      <c r="BY749" s="1"/>
      <c r="BZ749" s="1"/>
      <c r="CA749" s="1"/>
      <c r="CB749" s="1"/>
      <c r="CC749" s="1"/>
      <c r="CD749" s="1"/>
      <c r="CE749" s="1"/>
      <c r="CF749" s="1"/>
      <c r="CG749" s="1"/>
    </row>
    <row r="750" spans="1:85" ht="15.75" customHeight="1">
      <c r="A750" s="500"/>
      <c r="B750" s="216"/>
      <c r="C750" s="527"/>
      <c r="D750" s="216"/>
      <c r="E750" s="503"/>
      <c r="F750" s="436"/>
      <c r="G750" s="436"/>
      <c r="H750" s="503"/>
      <c r="I750" s="504"/>
      <c r="J750" s="504"/>
      <c r="K750" s="503"/>
      <c r="L750" s="505"/>
      <c r="M750" s="436"/>
      <c r="N750" s="503"/>
      <c r="O750" s="436"/>
      <c r="P750" s="436"/>
      <c r="Q750" s="436"/>
      <c r="R750" s="436"/>
      <c r="S750" s="436"/>
      <c r="T750" s="436"/>
      <c r="U750" s="503"/>
      <c r="V750" s="503"/>
      <c r="W750" s="503"/>
      <c r="X750" s="506"/>
      <c r="Y750" s="506"/>
      <c r="Z750" s="506"/>
      <c r="AA750" s="436"/>
      <c r="AB750" s="436"/>
      <c r="AC750" s="436"/>
      <c r="AD750" s="436"/>
      <c r="AE750" s="508"/>
      <c r="AF750" s="508"/>
      <c r="AG750" s="508"/>
      <c r="AH750" s="508"/>
      <c r="AI750" s="436"/>
      <c r="AJ750" s="436"/>
      <c r="AK750" s="436"/>
      <c r="AL750" s="436"/>
      <c r="AM750" s="436"/>
      <c r="AN750" s="436"/>
      <c r="AO750" s="436"/>
      <c r="AP750" s="436"/>
      <c r="AQ750" s="436"/>
      <c r="AR750" s="436"/>
      <c r="AS750" s="436"/>
      <c r="AT750" s="436"/>
      <c r="AU750" s="436"/>
      <c r="AV750" s="436"/>
      <c r="AW750" s="436"/>
      <c r="AX750" s="436"/>
      <c r="AY750" s="436"/>
      <c r="AZ750" s="436"/>
      <c r="BA750" s="436"/>
      <c r="BB750" s="436"/>
      <c r="BC750" s="436"/>
      <c r="BD750" s="436"/>
      <c r="BE750" s="436"/>
      <c r="BF750" s="436"/>
      <c r="BG750" s="436"/>
      <c r="BH750" s="436"/>
      <c r="BI750" s="436"/>
      <c r="BJ750" s="436"/>
      <c r="BK750" s="436"/>
      <c r="BL750" s="436"/>
      <c r="BM750" s="436"/>
      <c r="BN750" s="436"/>
      <c r="BO750" s="339"/>
      <c r="BP750" s="436"/>
      <c r="BQ750" s="436"/>
      <c r="BR750" s="436"/>
      <c r="BS750" s="436"/>
      <c r="BT750" s="436"/>
      <c r="BU750" s="436"/>
      <c r="BV750" s="436"/>
      <c r="BW750" s="436"/>
      <c r="BX750" s="1"/>
      <c r="BY750" s="1"/>
      <c r="BZ750" s="1"/>
      <c r="CA750" s="1"/>
      <c r="CB750" s="1"/>
      <c r="CC750" s="1"/>
      <c r="CD750" s="1"/>
      <c r="CE750" s="1"/>
      <c r="CF750" s="1"/>
      <c r="CG750" s="1"/>
    </row>
    <row r="751" spans="1:85" ht="15.75" customHeight="1">
      <c r="A751" s="500"/>
      <c r="B751" s="216"/>
      <c r="C751" s="527"/>
      <c r="D751" s="216"/>
      <c r="E751" s="503"/>
      <c r="F751" s="436"/>
      <c r="G751" s="436"/>
      <c r="H751" s="503"/>
      <c r="I751" s="504"/>
      <c r="J751" s="504"/>
      <c r="K751" s="503"/>
      <c r="L751" s="505"/>
      <c r="M751" s="436"/>
      <c r="N751" s="503"/>
      <c r="O751" s="436"/>
      <c r="P751" s="436"/>
      <c r="Q751" s="436"/>
      <c r="R751" s="436"/>
      <c r="S751" s="436"/>
      <c r="T751" s="436"/>
      <c r="U751" s="503"/>
      <c r="V751" s="503"/>
      <c r="W751" s="503"/>
      <c r="X751" s="506"/>
      <c r="Y751" s="506"/>
      <c r="Z751" s="506"/>
      <c r="AA751" s="436"/>
      <c r="AB751" s="436"/>
      <c r="AC751" s="436"/>
      <c r="AD751" s="436"/>
      <c r="AE751" s="508"/>
      <c r="AF751" s="508"/>
      <c r="AG751" s="508"/>
      <c r="AH751" s="508"/>
      <c r="AI751" s="436"/>
      <c r="AJ751" s="436"/>
      <c r="AK751" s="436"/>
      <c r="AL751" s="436"/>
      <c r="AM751" s="436"/>
      <c r="AN751" s="436"/>
      <c r="AO751" s="436"/>
      <c r="AP751" s="436"/>
      <c r="AQ751" s="436"/>
      <c r="AR751" s="436"/>
      <c r="AS751" s="436"/>
      <c r="AT751" s="436"/>
      <c r="AU751" s="436"/>
      <c r="AV751" s="436"/>
      <c r="AW751" s="436"/>
      <c r="AX751" s="436"/>
      <c r="AY751" s="436"/>
      <c r="AZ751" s="436"/>
      <c r="BA751" s="436"/>
      <c r="BB751" s="436"/>
      <c r="BC751" s="436"/>
      <c r="BD751" s="436"/>
      <c r="BE751" s="436"/>
      <c r="BF751" s="436"/>
      <c r="BG751" s="436"/>
      <c r="BH751" s="436"/>
      <c r="BI751" s="436"/>
      <c r="BJ751" s="436"/>
      <c r="BK751" s="436"/>
      <c r="BL751" s="436"/>
      <c r="BM751" s="436"/>
      <c r="BN751" s="436"/>
      <c r="BO751" s="339"/>
      <c r="BP751" s="436"/>
      <c r="BQ751" s="436"/>
      <c r="BR751" s="436"/>
      <c r="BS751" s="436"/>
      <c r="BT751" s="436"/>
      <c r="BU751" s="436"/>
      <c r="BV751" s="436"/>
      <c r="BW751" s="436"/>
      <c r="BX751" s="1"/>
      <c r="BY751" s="1"/>
      <c r="BZ751" s="1"/>
      <c r="CA751" s="1"/>
      <c r="CB751" s="1"/>
      <c r="CC751" s="1"/>
      <c r="CD751" s="1"/>
      <c r="CE751" s="1"/>
      <c r="CF751" s="1"/>
      <c r="CG751" s="1"/>
    </row>
    <row r="752" spans="1:85" ht="15.75" customHeight="1">
      <c r="A752" s="500"/>
      <c r="B752" s="216"/>
      <c r="C752" s="527"/>
      <c r="D752" s="216"/>
      <c r="E752" s="503"/>
      <c r="F752" s="436"/>
      <c r="G752" s="436"/>
      <c r="H752" s="503"/>
      <c r="I752" s="504"/>
      <c r="J752" s="504"/>
      <c r="K752" s="503"/>
      <c r="L752" s="505"/>
      <c r="M752" s="436"/>
      <c r="N752" s="503"/>
      <c r="O752" s="436"/>
      <c r="P752" s="436"/>
      <c r="Q752" s="436"/>
      <c r="R752" s="436"/>
      <c r="S752" s="436"/>
      <c r="T752" s="436"/>
      <c r="U752" s="503"/>
      <c r="V752" s="503"/>
      <c r="W752" s="503"/>
      <c r="X752" s="506"/>
      <c r="Y752" s="506"/>
      <c r="Z752" s="506"/>
      <c r="AA752" s="436"/>
      <c r="AB752" s="436"/>
      <c r="AC752" s="436"/>
      <c r="AD752" s="436"/>
      <c r="AE752" s="508"/>
      <c r="AF752" s="508"/>
      <c r="AG752" s="508"/>
      <c r="AH752" s="508"/>
      <c r="AI752" s="436"/>
      <c r="AJ752" s="436"/>
      <c r="AK752" s="436"/>
      <c r="AL752" s="436"/>
      <c r="AM752" s="436"/>
      <c r="AN752" s="436"/>
      <c r="AO752" s="436"/>
      <c r="AP752" s="436"/>
      <c r="AQ752" s="436"/>
      <c r="AR752" s="436"/>
      <c r="AS752" s="436"/>
      <c r="AT752" s="436"/>
      <c r="AU752" s="436"/>
      <c r="AV752" s="436"/>
      <c r="AW752" s="436"/>
      <c r="AX752" s="436"/>
      <c r="AY752" s="436"/>
      <c r="AZ752" s="436"/>
      <c r="BA752" s="436"/>
      <c r="BB752" s="436"/>
      <c r="BC752" s="436"/>
      <c r="BD752" s="436"/>
      <c r="BE752" s="436"/>
      <c r="BF752" s="436"/>
      <c r="BG752" s="436"/>
      <c r="BH752" s="436"/>
      <c r="BI752" s="436"/>
      <c r="BJ752" s="436"/>
      <c r="BK752" s="436"/>
      <c r="BL752" s="436"/>
      <c r="BM752" s="436"/>
      <c r="BN752" s="436"/>
      <c r="BO752" s="339"/>
      <c r="BP752" s="436"/>
      <c r="BQ752" s="436"/>
      <c r="BR752" s="436"/>
      <c r="BS752" s="436"/>
      <c r="BT752" s="436"/>
      <c r="BU752" s="436"/>
      <c r="BV752" s="436"/>
      <c r="BW752" s="436"/>
      <c r="BX752" s="1"/>
      <c r="BY752" s="1"/>
      <c r="BZ752" s="1"/>
      <c r="CA752" s="1"/>
      <c r="CB752" s="1"/>
      <c r="CC752" s="1"/>
      <c r="CD752" s="1"/>
      <c r="CE752" s="1"/>
      <c r="CF752" s="1"/>
      <c r="CG752" s="1"/>
    </row>
    <row r="753" spans="1:85" ht="15.75" customHeight="1">
      <c r="A753" s="500"/>
      <c r="B753" s="216"/>
      <c r="C753" s="527"/>
      <c r="D753" s="216"/>
      <c r="E753" s="503"/>
      <c r="F753" s="436"/>
      <c r="G753" s="436"/>
      <c r="H753" s="503"/>
      <c r="I753" s="504"/>
      <c r="J753" s="504"/>
      <c r="K753" s="503"/>
      <c r="L753" s="505"/>
      <c r="M753" s="436"/>
      <c r="N753" s="503"/>
      <c r="O753" s="436"/>
      <c r="P753" s="436"/>
      <c r="Q753" s="436"/>
      <c r="R753" s="436"/>
      <c r="S753" s="436"/>
      <c r="T753" s="436"/>
      <c r="U753" s="503"/>
      <c r="V753" s="503"/>
      <c r="W753" s="503"/>
      <c r="X753" s="506"/>
      <c r="Y753" s="506"/>
      <c r="Z753" s="506"/>
      <c r="AA753" s="436"/>
      <c r="AB753" s="436"/>
      <c r="AC753" s="436"/>
      <c r="AD753" s="436"/>
      <c r="AE753" s="508"/>
      <c r="AF753" s="508"/>
      <c r="AG753" s="508"/>
      <c r="AH753" s="508"/>
      <c r="AI753" s="436"/>
      <c r="AJ753" s="436"/>
      <c r="AK753" s="436"/>
      <c r="AL753" s="436"/>
      <c r="AM753" s="436"/>
      <c r="AN753" s="436"/>
      <c r="AO753" s="436"/>
      <c r="AP753" s="436"/>
      <c r="AQ753" s="436"/>
      <c r="AR753" s="436"/>
      <c r="AS753" s="436"/>
      <c r="AT753" s="436"/>
      <c r="AU753" s="436"/>
      <c r="AV753" s="436"/>
      <c r="AW753" s="436"/>
      <c r="AX753" s="436"/>
      <c r="AY753" s="436"/>
      <c r="AZ753" s="436"/>
      <c r="BA753" s="436"/>
      <c r="BB753" s="436"/>
      <c r="BC753" s="436"/>
      <c r="BD753" s="436"/>
      <c r="BE753" s="436"/>
      <c r="BF753" s="436"/>
      <c r="BG753" s="436"/>
      <c r="BH753" s="436"/>
      <c r="BI753" s="436"/>
      <c r="BJ753" s="436"/>
      <c r="BK753" s="436"/>
      <c r="BL753" s="436"/>
      <c r="BM753" s="436"/>
      <c r="BN753" s="436"/>
      <c r="BO753" s="339"/>
      <c r="BP753" s="436"/>
      <c r="BQ753" s="436"/>
      <c r="BR753" s="436"/>
      <c r="BS753" s="436"/>
      <c r="BT753" s="436"/>
      <c r="BU753" s="436"/>
      <c r="BV753" s="436"/>
      <c r="BW753" s="436"/>
      <c r="BX753" s="1"/>
      <c r="BY753" s="1"/>
      <c r="BZ753" s="1"/>
      <c r="CA753" s="1"/>
      <c r="CB753" s="1"/>
      <c r="CC753" s="1"/>
      <c r="CD753" s="1"/>
      <c r="CE753" s="1"/>
      <c r="CF753" s="1"/>
      <c r="CG753" s="1"/>
    </row>
    <row r="754" spans="1:85" ht="15.75" customHeight="1">
      <c r="A754" s="500"/>
      <c r="B754" s="216"/>
      <c r="C754" s="527"/>
      <c r="D754" s="216"/>
      <c r="E754" s="503"/>
      <c r="F754" s="436"/>
      <c r="G754" s="436"/>
      <c r="H754" s="503"/>
      <c r="I754" s="504"/>
      <c r="J754" s="504"/>
      <c r="K754" s="503"/>
      <c r="L754" s="505"/>
      <c r="M754" s="436"/>
      <c r="N754" s="503"/>
      <c r="O754" s="436"/>
      <c r="P754" s="436"/>
      <c r="Q754" s="436"/>
      <c r="R754" s="436"/>
      <c r="S754" s="436"/>
      <c r="T754" s="436"/>
      <c r="U754" s="503"/>
      <c r="V754" s="503"/>
      <c r="W754" s="503"/>
      <c r="X754" s="506"/>
      <c r="Y754" s="506"/>
      <c r="Z754" s="506"/>
      <c r="AA754" s="436"/>
      <c r="AB754" s="436"/>
      <c r="AC754" s="436"/>
      <c r="AD754" s="436"/>
      <c r="AE754" s="508"/>
      <c r="AF754" s="508"/>
      <c r="AG754" s="508"/>
      <c r="AH754" s="508"/>
      <c r="AI754" s="436"/>
      <c r="AJ754" s="436"/>
      <c r="AK754" s="436"/>
      <c r="AL754" s="436"/>
      <c r="AM754" s="436"/>
      <c r="AN754" s="436"/>
      <c r="AO754" s="436"/>
      <c r="AP754" s="436"/>
      <c r="AQ754" s="436"/>
      <c r="AR754" s="436"/>
      <c r="AS754" s="436"/>
      <c r="AT754" s="436"/>
      <c r="AU754" s="436"/>
      <c r="AV754" s="436"/>
      <c r="AW754" s="436"/>
      <c r="AX754" s="436"/>
      <c r="AY754" s="436"/>
      <c r="AZ754" s="436"/>
      <c r="BA754" s="436"/>
      <c r="BB754" s="436"/>
      <c r="BC754" s="436"/>
      <c r="BD754" s="436"/>
      <c r="BE754" s="436"/>
      <c r="BF754" s="436"/>
      <c r="BG754" s="436"/>
      <c r="BH754" s="436"/>
      <c r="BI754" s="436"/>
      <c r="BJ754" s="436"/>
      <c r="BK754" s="436"/>
      <c r="BL754" s="436"/>
      <c r="BM754" s="436"/>
      <c r="BN754" s="436"/>
      <c r="BO754" s="339"/>
      <c r="BP754" s="436"/>
      <c r="BQ754" s="436"/>
      <c r="BR754" s="436"/>
      <c r="BS754" s="436"/>
      <c r="BT754" s="436"/>
      <c r="BU754" s="436"/>
      <c r="BV754" s="436"/>
      <c r="BW754" s="436"/>
      <c r="BX754" s="1"/>
      <c r="BY754" s="1"/>
      <c r="BZ754" s="1"/>
      <c r="CA754" s="1"/>
      <c r="CB754" s="1"/>
      <c r="CC754" s="1"/>
      <c r="CD754" s="1"/>
      <c r="CE754" s="1"/>
      <c r="CF754" s="1"/>
      <c r="CG754" s="1"/>
    </row>
    <row r="755" spans="1:85" ht="15.75" customHeight="1">
      <c r="A755" s="500"/>
      <c r="B755" s="216"/>
      <c r="C755" s="527"/>
      <c r="D755" s="216"/>
      <c r="E755" s="503"/>
      <c r="F755" s="436"/>
      <c r="G755" s="436"/>
      <c r="H755" s="503"/>
      <c r="I755" s="504"/>
      <c r="J755" s="504"/>
      <c r="K755" s="503"/>
      <c r="L755" s="505"/>
      <c r="M755" s="436"/>
      <c r="N755" s="503"/>
      <c r="O755" s="436"/>
      <c r="P755" s="436"/>
      <c r="Q755" s="436"/>
      <c r="R755" s="436"/>
      <c r="S755" s="436"/>
      <c r="T755" s="436"/>
      <c r="U755" s="503"/>
      <c r="V755" s="503"/>
      <c r="W755" s="503"/>
      <c r="X755" s="506"/>
      <c r="Y755" s="506"/>
      <c r="Z755" s="506"/>
      <c r="AA755" s="436"/>
      <c r="AB755" s="436"/>
      <c r="AC755" s="436"/>
      <c r="AD755" s="436"/>
      <c r="AE755" s="508"/>
      <c r="AF755" s="508"/>
      <c r="AG755" s="508"/>
      <c r="AH755" s="508"/>
      <c r="AI755" s="436"/>
      <c r="AJ755" s="436"/>
      <c r="AK755" s="436"/>
      <c r="AL755" s="436"/>
      <c r="AM755" s="436"/>
      <c r="AN755" s="436"/>
      <c r="AO755" s="436"/>
      <c r="AP755" s="436"/>
      <c r="AQ755" s="436"/>
      <c r="AR755" s="436"/>
      <c r="AS755" s="436"/>
      <c r="AT755" s="436"/>
      <c r="AU755" s="436"/>
      <c r="AV755" s="436"/>
      <c r="AW755" s="436"/>
      <c r="AX755" s="436"/>
      <c r="AY755" s="436"/>
      <c r="AZ755" s="436"/>
      <c r="BA755" s="436"/>
      <c r="BB755" s="436"/>
      <c r="BC755" s="436"/>
      <c r="BD755" s="436"/>
      <c r="BE755" s="436"/>
      <c r="BF755" s="436"/>
      <c r="BG755" s="436"/>
      <c r="BH755" s="436"/>
      <c r="BI755" s="436"/>
      <c r="BJ755" s="436"/>
      <c r="BK755" s="436"/>
      <c r="BL755" s="436"/>
      <c r="BM755" s="436"/>
      <c r="BN755" s="436"/>
      <c r="BO755" s="339"/>
      <c r="BP755" s="436"/>
      <c r="BQ755" s="436"/>
      <c r="BR755" s="436"/>
      <c r="BS755" s="436"/>
      <c r="BT755" s="436"/>
      <c r="BU755" s="436"/>
      <c r="BV755" s="436"/>
      <c r="BW755" s="436"/>
      <c r="BX755" s="1"/>
      <c r="BY755" s="1"/>
      <c r="BZ755" s="1"/>
      <c r="CA755" s="1"/>
      <c r="CB755" s="1"/>
      <c r="CC755" s="1"/>
      <c r="CD755" s="1"/>
      <c r="CE755" s="1"/>
      <c r="CF755" s="1"/>
      <c r="CG755" s="1"/>
    </row>
    <row r="756" spans="1:85" ht="15.75" customHeight="1">
      <c r="A756" s="500"/>
      <c r="B756" s="216"/>
      <c r="C756" s="527"/>
      <c r="D756" s="216"/>
      <c r="E756" s="503"/>
      <c r="F756" s="436"/>
      <c r="G756" s="436"/>
      <c r="H756" s="503"/>
      <c r="I756" s="504"/>
      <c r="J756" s="504"/>
      <c r="K756" s="503"/>
      <c r="L756" s="505"/>
      <c r="M756" s="436"/>
      <c r="N756" s="503"/>
      <c r="O756" s="436"/>
      <c r="P756" s="436"/>
      <c r="Q756" s="436"/>
      <c r="R756" s="436"/>
      <c r="S756" s="436"/>
      <c r="T756" s="436"/>
      <c r="U756" s="503"/>
      <c r="V756" s="503"/>
      <c r="W756" s="503"/>
      <c r="X756" s="506"/>
      <c r="Y756" s="506"/>
      <c r="Z756" s="506"/>
      <c r="AA756" s="436"/>
      <c r="AB756" s="436"/>
      <c r="AC756" s="436"/>
      <c r="AD756" s="436"/>
      <c r="AE756" s="508"/>
      <c r="AF756" s="508"/>
      <c r="AG756" s="508"/>
      <c r="AH756" s="508"/>
      <c r="AI756" s="436"/>
      <c r="AJ756" s="436"/>
      <c r="AK756" s="436"/>
      <c r="AL756" s="436"/>
      <c r="AM756" s="436"/>
      <c r="AN756" s="436"/>
      <c r="AO756" s="436"/>
      <c r="AP756" s="436"/>
      <c r="AQ756" s="436"/>
      <c r="AR756" s="436"/>
      <c r="AS756" s="436"/>
      <c r="AT756" s="436"/>
      <c r="AU756" s="436"/>
      <c r="AV756" s="436"/>
      <c r="AW756" s="436"/>
      <c r="AX756" s="436"/>
      <c r="AY756" s="436"/>
      <c r="AZ756" s="436"/>
      <c r="BA756" s="436"/>
      <c r="BB756" s="436"/>
      <c r="BC756" s="436"/>
      <c r="BD756" s="436"/>
      <c r="BE756" s="436"/>
      <c r="BF756" s="436"/>
      <c r="BG756" s="436"/>
      <c r="BH756" s="436"/>
      <c r="BI756" s="436"/>
      <c r="BJ756" s="436"/>
      <c r="BK756" s="436"/>
      <c r="BL756" s="436"/>
      <c r="BM756" s="436"/>
      <c r="BN756" s="436"/>
      <c r="BO756" s="339"/>
      <c r="BP756" s="436"/>
      <c r="BQ756" s="436"/>
      <c r="BR756" s="436"/>
      <c r="BS756" s="436"/>
      <c r="BT756" s="436"/>
      <c r="BU756" s="436"/>
      <c r="BV756" s="436"/>
      <c r="BW756" s="436"/>
      <c r="BX756" s="1"/>
      <c r="BY756" s="1"/>
      <c r="BZ756" s="1"/>
      <c r="CA756" s="1"/>
      <c r="CB756" s="1"/>
      <c r="CC756" s="1"/>
      <c r="CD756" s="1"/>
      <c r="CE756" s="1"/>
      <c r="CF756" s="1"/>
      <c r="CG756" s="1"/>
    </row>
    <row r="757" spans="1:85" ht="15.75" customHeight="1">
      <c r="A757" s="500"/>
      <c r="B757" s="216"/>
      <c r="C757" s="527"/>
      <c r="D757" s="216"/>
      <c r="E757" s="503"/>
      <c r="F757" s="436"/>
      <c r="G757" s="436"/>
      <c r="H757" s="503"/>
      <c r="I757" s="504"/>
      <c r="J757" s="504"/>
      <c r="K757" s="503"/>
      <c r="L757" s="505"/>
      <c r="M757" s="436"/>
      <c r="N757" s="503"/>
      <c r="O757" s="436"/>
      <c r="P757" s="436"/>
      <c r="Q757" s="436"/>
      <c r="R757" s="436"/>
      <c r="S757" s="436"/>
      <c r="T757" s="436"/>
      <c r="U757" s="503"/>
      <c r="V757" s="503"/>
      <c r="W757" s="503"/>
      <c r="X757" s="506"/>
      <c r="Y757" s="506"/>
      <c r="Z757" s="506"/>
      <c r="AA757" s="436"/>
      <c r="AB757" s="436"/>
      <c r="AC757" s="436"/>
      <c r="AD757" s="436"/>
      <c r="AE757" s="508"/>
      <c r="AF757" s="508"/>
      <c r="AG757" s="508"/>
      <c r="AH757" s="508"/>
      <c r="AI757" s="436"/>
      <c r="AJ757" s="436"/>
      <c r="AK757" s="436"/>
      <c r="AL757" s="436"/>
      <c r="AM757" s="436"/>
      <c r="AN757" s="436"/>
      <c r="AO757" s="436"/>
      <c r="AP757" s="436"/>
      <c r="AQ757" s="436"/>
      <c r="AR757" s="436"/>
      <c r="AS757" s="436"/>
      <c r="AT757" s="436"/>
      <c r="AU757" s="436"/>
      <c r="AV757" s="436"/>
      <c r="AW757" s="436"/>
      <c r="AX757" s="436"/>
      <c r="AY757" s="436"/>
      <c r="AZ757" s="436"/>
      <c r="BA757" s="436"/>
      <c r="BB757" s="436"/>
      <c r="BC757" s="436"/>
      <c r="BD757" s="436"/>
      <c r="BE757" s="436"/>
      <c r="BF757" s="436"/>
      <c r="BG757" s="436"/>
      <c r="BH757" s="436"/>
      <c r="BI757" s="436"/>
      <c r="BJ757" s="436"/>
      <c r="BK757" s="436"/>
      <c r="BL757" s="436"/>
      <c r="BM757" s="436"/>
      <c r="BN757" s="436"/>
      <c r="BO757" s="339"/>
      <c r="BP757" s="436"/>
      <c r="BQ757" s="436"/>
      <c r="BR757" s="436"/>
      <c r="BS757" s="436"/>
      <c r="BT757" s="436"/>
      <c r="BU757" s="436"/>
      <c r="BV757" s="436"/>
      <c r="BW757" s="436"/>
      <c r="BX757" s="1"/>
      <c r="BY757" s="1"/>
      <c r="BZ757" s="1"/>
      <c r="CA757" s="1"/>
      <c r="CB757" s="1"/>
      <c r="CC757" s="1"/>
      <c r="CD757" s="1"/>
      <c r="CE757" s="1"/>
      <c r="CF757" s="1"/>
      <c r="CG757" s="1"/>
    </row>
    <row r="758" spans="1:85" ht="15.75" customHeight="1">
      <c r="A758" s="500"/>
      <c r="B758" s="216"/>
      <c r="C758" s="527"/>
      <c r="D758" s="216"/>
      <c r="E758" s="503"/>
      <c r="F758" s="436"/>
      <c r="G758" s="436"/>
      <c r="H758" s="503"/>
      <c r="I758" s="504"/>
      <c r="J758" s="504"/>
      <c r="K758" s="503"/>
      <c r="L758" s="505"/>
      <c r="M758" s="436"/>
      <c r="N758" s="503"/>
      <c r="O758" s="436"/>
      <c r="P758" s="436"/>
      <c r="Q758" s="436"/>
      <c r="R758" s="436"/>
      <c r="S758" s="436"/>
      <c r="T758" s="436"/>
      <c r="U758" s="503"/>
      <c r="V758" s="503"/>
      <c r="W758" s="503"/>
      <c r="X758" s="506"/>
      <c r="Y758" s="506"/>
      <c r="Z758" s="506"/>
      <c r="AA758" s="436"/>
      <c r="AB758" s="436"/>
      <c r="AC758" s="436"/>
      <c r="AD758" s="436"/>
      <c r="AE758" s="508"/>
      <c r="AF758" s="508"/>
      <c r="AG758" s="508"/>
      <c r="AH758" s="508"/>
      <c r="AI758" s="436"/>
      <c r="AJ758" s="436"/>
      <c r="AK758" s="436"/>
      <c r="AL758" s="436"/>
      <c r="AM758" s="436"/>
      <c r="AN758" s="436"/>
      <c r="AO758" s="436"/>
      <c r="AP758" s="436"/>
      <c r="AQ758" s="436"/>
      <c r="AR758" s="436"/>
      <c r="AS758" s="436"/>
      <c r="AT758" s="436"/>
      <c r="AU758" s="436"/>
      <c r="AV758" s="436"/>
      <c r="AW758" s="436"/>
      <c r="AX758" s="436"/>
      <c r="AY758" s="436"/>
      <c r="AZ758" s="436"/>
      <c r="BA758" s="436"/>
      <c r="BB758" s="436"/>
      <c r="BC758" s="436"/>
      <c r="BD758" s="436"/>
      <c r="BE758" s="436"/>
      <c r="BF758" s="436"/>
      <c r="BG758" s="436"/>
      <c r="BH758" s="436"/>
      <c r="BI758" s="436"/>
      <c r="BJ758" s="436"/>
      <c r="BK758" s="436"/>
      <c r="BL758" s="436"/>
      <c r="BM758" s="436"/>
      <c r="BN758" s="436"/>
      <c r="BO758" s="339"/>
      <c r="BP758" s="436"/>
      <c r="BQ758" s="436"/>
      <c r="BR758" s="436"/>
      <c r="BS758" s="436"/>
      <c r="BT758" s="436"/>
      <c r="BU758" s="436"/>
      <c r="BV758" s="436"/>
      <c r="BW758" s="436"/>
      <c r="BX758" s="1"/>
      <c r="BY758" s="1"/>
      <c r="BZ758" s="1"/>
      <c r="CA758" s="1"/>
      <c r="CB758" s="1"/>
      <c r="CC758" s="1"/>
      <c r="CD758" s="1"/>
      <c r="CE758" s="1"/>
      <c r="CF758" s="1"/>
      <c r="CG758" s="1"/>
    </row>
    <row r="759" spans="1:85" ht="15.75" customHeight="1">
      <c r="A759" s="500"/>
      <c r="B759" s="216"/>
      <c r="C759" s="527"/>
      <c r="D759" s="216"/>
      <c r="E759" s="503"/>
      <c r="F759" s="436"/>
      <c r="G759" s="436"/>
      <c r="H759" s="503"/>
      <c r="I759" s="504"/>
      <c r="J759" s="504"/>
      <c r="K759" s="503"/>
      <c r="L759" s="505"/>
      <c r="M759" s="436"/>
      <c r="N759" s="503"/>
      <c r="O759" s="436"/>
      <c r="P759" s="436"/>
      <c r="Q759" s="436"/>
      <c r="R759" s="436"/>
      <c r="S759" s="436"/>
      <c r="T759" s="436"/>
      <c r="U759" s="503"/>
      <c r="V759" s="503"/>
      <c r="W759" s="503"/>
      <c r="X759" s="506"/>
      <c r="Y759" s="506"/>
      <c r="Z759" s="506"/>
      <c r="AA759" s="436"/>
      <c r="AB759" s="436"/>
      <c r="AC759" s="436"/>
      <c r="AD759" s="436"/>
      <c r="AE759" s="508"/>
      <c r="AF759" s="508"/>
      <c r="AG759" s="508"/>
      <c r="AH759" s="508"/>
      <c r="AI759" s="436"/>
      <c r="AJ759" s="436"/>
      <c r="AK759" s="436"/>
      <c r="AL759" s="436"/>
      <c r="AM759" s="436"/>
      <c r="AN759" s="436"/>
      <c r="AO759" s="436"/>
      <c r="AP759" s="436"/>
      <c r="AQ759" s="436"/>
      <c r="AR759" s="436"/>
      <c r="AS759" s="436"/>
      <c r="AT759" s="436"/>
      <c r="AU759" s="436"/>
      <c r="AV759" s="436"/>
      <c r="AW759" s="436"/>
      <c r="AX759" s="436"/>
      <c r="AY759" s="436"/>
      <c r="AZ759" s="436"/>
      <c r="BA759" s="436"/>
      <c r="BB759" s="436"/>
      <c r="BC759" s="436"/>
      <c r="BD759" s="436"/>
      <c r="BE759" s="436"/>
      <c r="BF759" s="436"/>
      <c r="BG759" s="436"/>
      <c r="BH759" s="436"/>
      <c r="BI759" s="436"/>
      <c r="BJ759" s="436"/>
      <c r="BK759" s="436"/>
      <c r="BL759" s="436"/>
      <c r="BM759" s="436"/>
      <c r="BN759" s="436"/>
      <c r="BO759" s="339"/>
      <c r="BP759" s="436"/>
      <c r="BQ759" s="436"/>
      <c r="BR759" s="436"/>
      <c r="BS759" s="436"/>
      <c r="BT759" s="436"/>
      <c r="BU759" s="436"/>
      <c r="BV759" s="436"/>
      <c r="BW759" s="436"/>
      <c r="BX759" s="1"/>
      <c r="BY759" s="1"/>
      <c r="BZ759" s="1"/>
      <c r="CA759" s="1"/>
      <c r="CB759" s="1"/>
      <c r="CC759" s="1"/>
      <c r="CD759" s="1"/>
      <c r="CE759" s="1"/>
      <c r="CF759" s="1"/>
      <c r="CG759" s="1"/>
    </row>
    <row r="760" spans="1:85" ht="15.75" customHeight="1">
      <c r="A760" s="500"/>
      <c r="B760" s="216"/>
      <c r="C760" s="527"/>
      <c r="D760" s="216"/>
      <c r="E760" s="503"/>
      <c r="F760" s="436"/>
      <c r="G760" s="436"/>
      <c r="H760" s="503"/>
      <c r="I760" s="504"/>
      <c r="J760" s="504"/>
      <c r="K760" s="503"/>
      <c r="L760" s="505"/>
      <c r="M760" s="436"/>
      <c r="N760" s="503"/>
      <c r="O760" s="436"/>
      <c r="P760" s="436"/>
      <c r="Q760" s="436"/>
      <c r="R760" s="436"/>
      <c r="S760" s="436"/>
      <c r="T760" s="436"/>
      <c r="U760" s="503"/>
      <c r="V760" s="503"/>
      <c r="W760" s="503"/>
      <c r="X760" s="506"/>
      <c r="Y760" s="506"/>
      <c r="Z760" s="506"/>
      <c r="AA760" s="436"/>
      <c r="AB760" s="436"/>
      <c r="AC760" s="436"/>
      <c r="AD760" s="436"/>
      <c r="AE760" s="508"/>
      <c r="AF760" s="508"/>
      <c r="AG760" s="508"/>
      <c r="AH760" s="508"/>
      <c r="AI760" s="436"/>
      <c r="AJ760" s="436"/>
      <c r="AK760" s="436"/>
      <c r="AL760" s="436"/>
      <c r="AM760" s="436"/>
      <c r="AN760" s="436"/>
      <c r="AO760" s="436"/>
      <c r="AP760" s="436"/>
      <c r="AQ760" s="436"/>
      <c r="AR760" s="436"/>
      <c r="AS760" s="436"/>
      <c r="AT760" s="436"/>
      <c r="AU760" s="436"/>
      <c r="AV760" s="436"/>
      <c r="AW760" s="436"/>
      <c r="AX760" s="436"/>
      <c r="AY760" s="436"/>
      <c r="AZ760" s="436"/>
      <c r="BA760" s="436"/>
      <c r="BB760" s="436"/>
      <c r="BC760" s="436"/>
      <c r="BD760" s="436"/>
      <c r="BE760" s="436"/>
      <c r="BF760" s="436"/>
      <c r="BG760" s="436"/>
      <c r="BH760" s="436"/>
      <c r="BI760" s="436"/>
      <c r="BJ760" s="436"/>
      <c r="BK760" s="436"/>
      <c r="BL760" s="436"/>
      <c r="BM760" s="436"/>
      <c r="BN760" s="436"/>
      <c r="BO760" s="339"/>
      <c r="BP760" s="436"/>
      <c r="BQ760" s="436"/>
      <c r="BR760" s="436"/>
      <c r="BS760" s="436"/>
      <c r="BT760" s="436"/>
      <c r="BU760" s="436"/>
      <c r="BV760" s="436"/>
      <c r="BW760" s="436"/>
      <c r="BX760" s="1"/>
      <c r="BY760" s="1"/>
      <c r="BZ760" s="1"/>
      <c r="CA760" s="1"/>
      <c r="CB760" s="1"/>
      <c r="CC760" s="1"/>
      <c r="CD760" s="1"/>
      <c r="CE760" s="1"/>
      <c r="CF760" s="1"/>
      <c r="CG760" s="1"/>
    </row>
    <row r="761" spans="1:85" ht="15.75" customHeight="1">
      <c r="A761" s="500"/>
      <c r="B761" s="216"/>
      <c r="C761" s="527"/>
      <c r="D761" s="216"/>
      <c r="E761" s="503"/>
      <c r="F761" s="436"/>
      <c r="G761" s="436"/>
      <c r="H761" s="503"/>
      <c r="I761" s="504"/>
      <c r="J761" s="504"/>
      <c r="K761" s="503"/>
      <c r="L761" s="505"/>
      <c r="M761" s="436"/>
      <c r="N761" s="503"/>
      <c r="O761" s="436"/>
      <c r="P761" s="436"/>
      <c r="Q761" s="436"/>
      <c r="R761" s="436"/>
      <c r="S761" s="436"/>
      <c r="T761" s="436"/>
      <c r="U761" s="503"/>
      <c r="V761" s="503"/>
      <c r="W761" s="503"/>
      <c r="X761" s="506"/>
      <c r="Y761" s="506"/>
      <c r="Z761" s="506"/>
      <c r="AA761" s="436"/>
      <c r="AB761" s="436"/>
      <c r="AC761" s="436"/>
      <c r="AD761" s="436"/>
      <c r="AE761" s="508"/>
      <c r="AF761" s="508"/>
      <c r="AG761" s="508"/>
      <c r="AH761" s="508"/>
      <c r="AI761" s="436"/>
      <c r="AJ761" s="436"/>
      <c r="AK761" s="436"/>
      <c r="AL761" s="436"/>
      <c r="AM761" s="436"/>
      <c r="AN761" s="436"/>
      <c r="AO761" s="436"/>
      <c r="AP761" s="436"/>
      <c r="AQ761" s="436"/>
      <c r="AR761" s="436"/>
      <c r="AS761" s="436"/>
      <c r="AT761" s="436"/>
      <c r="AU761" s="436"/>
      <c r="AV761" s="436"/>
      <c r="AW761" s="436"/>
      <c r="AX761" s="436"/>
      <c r="AY761" s="436"/>
      <c r="AZ761" s="436"/>
      <c r="BA761" s="436"/>
      <c r="BB761" s="436"/>
      <c r="BC761" s="436"/>
      <c r="BD761" s="436"/>
      <c r="BE761" s="436"/>
      <c r="BF761" s="436"/>
      <c r="BG761" s="436"/>
      <c r="BH761" s="436"/>
      <c r="BI761" s="436"/>
      <c r="BJ761" s="436"/>
      <c r="BK761" s="436"/>
      <c r="BL761" s="436"/>
      <c r="BM761" s="436"/>
      <c r="BN761" s="436"/>
      <c r="BO761" s="339"/>
      <c r="BP761" s="436"/>
      <c r="BQ761" s="436"/>
      <c r="BR761" s="436"/>
      <c r="BS761" s="436"/>
      <c r="BT761" s="436"/>
      <c r="BU761" s="436"/>
      <c r="BV761" s="436"/>
      <c r="BW761" s="436"/>
      <c r="BX761" s="1"/>
      <c r="BY761" s="1"/>
      <c r="BZ761" s="1"/>
      <c r="CA761" s="1"/>
      <c r="CB761" s="1"/>
      <c r="CC761" s="1"/>
      <c r="CD761" s="1"/>
      <c r="CE761" s="1"/>
      <c r="CF761" s="1"/>
      <c r="CG761" s="1"/>
    </row>
    <row r="762" spans="1:85" ht="15.75" customHeight="1">
      <c r="A762" s="500"/>
      <c r="B762" s="216"/>
      <c r="C762" s="527"/>
      <c r="D762" s="216"/>
      <c r="E762" s="503"/>
      <c r="F762" s="436"/>
      <c r="G762" s="436"/>
      <c r="H762" s="503"/>
      <c r="I762" s="504"/>
      <c r="J762" s="504"/>
      <c r="K762" s="503"/>
      <c r="L762" s="505"/>
      <c r="M762" s="436"/>
      <c r="N762" s="503"/>
      <c r="O762" s="436"/>
      <c r="P762" s="436"/>
      <c r="Q762" s="436"/>
      <c r="R762" s="436"/>
      <c r="S762" s="436"/>
      <c r="T762" s="436"/>
      <c r="U762" s="503"/>
      <c r="V762" s="503"/>
      <c r="W762" s="503"/>
      <c r="X762" s="506"/>
      <c r="Y762" s="506"/>
      <c r="Z762" s="506"/>
      <c r="AA762" s="436"/>
      <c r="AB762" s="436"/>
      <c r="AC762" s="436"/>
      <c r="AD762" s="436"/>
      <c r="AE762" s="508"/>
      <c r="AF762" s="508"/>
      <c r="AG762" s="508"/>
      <c r="AH762" s="508"/>
      <c r="AI762" s="436"/>
      <c r="AJ762" s="436"/>
      <c r="AK762" s="436"/>
      <c r="AL762" s="436"/>
      <c r="AM762" s="436"/>
      <c r="AN762" s="436"/>
      <c r="AO762" s="436"/>
      <c r="AP762" s="436"/>
      <c r="AQ762" s="436"/>
      <c r="AR762" s="436"/>
      <c r="AS762" s="436"/>
      <c r="AT762" s="436"/>
      <c r="AU762" s="436"/>
      <c r="AV762" s="436"/>
      <c r="AW762" s="436"/>
      <c r="AX762" s="436"/>
      <c r="AY762" s="436"/>
      <c r="AZ762" s="436"/>
      <c r="BA762" s="436"/>
      <c r="BB762" s="436"/>
      <c r="BC762" s="436"/>
      <c r="BD762" s="436"/>
      <c r="BE762" s="436"/>
      <c r="BF762" s="436"/>
      <c r="BG762" s="436"/>
      <c r="BH762" s="436"/>
      <c r="BI762" s="436"/>
      <c r="BJ762" s="436"/>
      <c r="BK762" s="436"/>
      <c r="BL762" s="436"/>
      <c r="BM762" s="436"/>
      <c r="BN762" s="436"/>
      <c r="BO762" s="339"/>
      <c r="BP762" s="436"/>
      <c r="BQ762" s="436"/>
      <c r="BR762" s="436"/>
      <c r="BS762" s="436"/>
      <c r="BT762" s="436"/>
      <c r="BU762" s="436"/>
      <c r="BV762" s="436"/>
      <c r="BW762" s="436"/>
      <c r="BX762" s="1"/>
      <c r="BY762" s="1"/>
      <c r="BZ762" s="1"/>
      <c r="CA762" s="1"/>
      <c r="CB762" s="1"/>
      <c r="CC762" s="1"/>
      <c r="CD762" s="1"/>
      <c r="CE762" s="1"/>
      <c r="CF762" s="1"/>
      <c r="CG762" s="1"/>
    </row>
    <row r="763" spans="1:85" ht="15.75" customHeight="1">
      <c r="A763" s="500"/>
      <c r="B763" s="216"/>
      <c r="C763" s="527"/>
      <c r="D763" s="216"/>
      <c r="E763" s="503"/>
      <c r="F763" s="436"/>
      <c r="G763" s="436"/>
      <c r="H763" s="503"/>
      <c r="I763" s="504"/>
      <c r="J763" s="504"/>
      <c r="K763" s="503"/>
      <c r="L763" s="505"/>
      <c r="M763" s="436"/>
      <c r="N763" s="503"/>
      <c r="O763" s="436"/>
      <c r="P763" s="436"/>
      <c r="Q763" s="436"/>
      <c r="R763" s="436"/>
      <c r="S763" s="436"/>
      <c r="T763" s="436"/>
      <c r="U763" s="503"/>
      <c r="V763" s="503"/>
      <c r="W763" s="503"/>
      <c r="X763" s="506"/>
      <c r="Y763" s="506"/>
      <c r="Z763" s="506"/>
      <c r="AA763" s="436"/>
      <c r="AB763" s="436"/>
      <c r="AC763" s="436"/>
      <c r="AD763" s="436"/>
      <c r="AE763" s="508"/>
      <c r="AF763" s="508"/>
      <c r="AG763" s="508"/>
      <c r="AH763" s="508"/>
      <c r="AI763" s="436"/>
      <c r="AJ763" s="436"/>
      <c r="AK763" s="436"/>
      <c r="AL763" s="436"/>
      <c r="AM763" s="436"/>
      <c r="AN763" s="436"/>
      <c r="AO763" s="436"/>
      <c r="AP763" s="436"/>
      <c r="AQ763" s="436"/>
      <c r="AR763" s="436"/>
      <c r="AS763" s="436"/>
      <c r="AT763" s="436"/>
      <c r="AU763" s="436"/>
      <c r="AV763" s="436"/>
      <c r="AW763" s="436"/>
      <c r="AX763" s="436"/>
      <c r="AY763" s="436"/>
      <c r="AZ763" s="436"/>
      <c r="BA763" s="436"/>
      <c r="BB763" s="436"/>
      <c r="BC763" s="436"/>
      <c r="BD763" s="436"/>
      <c r="BE763" s="436"/>
      <c r="BF763" s="436"/>
      <c r="BG763" s="436"/>
      <c r="BH763" s="436"/>
      <c r="BI763" s="436"/>
      <c r="BJ763" s="436"/>
      <c r="BK763" s="436"/>
      <c r="BL763" s="436"/>
      <c r="BM763" s="436"/>
      <c r="BN763" s="436"/>
      <c r="BO763" s="339"/>
      <c r="BP763" s="436"/>
      <c r="BQ763" s="436"/>
      <c r="BR763" s="436"/>
      <c r="BS763" s="436"/>
      <c r="BT763" s="436"/>
      <c r="BU763" s="436"/>
      <c r="BV763" s="436"/>
      <c r="BW763" s="436"/>
      <c r="BX763" s="1"/>
      <c r="BY763" s="1"/>
      <c r="BZ763" s="1"/>
      <c r="CA763" s="1"/>
      <c r="CB763" s="1"/>
      <c r="CC763" s="1"/>
      <c r="CD763" s="1"/>
      <c r="CE763" s="1"/>
      <c r="CF763" s="1"/>
      <c r="CG763" s="1"/>
    </row>
    <row r="764" spans="1:85" ht="15.75" customHeight="1">
      <c r="A764" s="500"/>
      <c r="B764" s="216"/>
      <c r="C764" s="527"/>
      <c r="D764" s="216"/>
      <c r="E764" s="503"/>
      <c r="F764" s="436"/>
      <c r="G764" s="436"/>
      <c r="H764" s="503"/>
      <c r="I764" s="504"/>
      <c r="J764" s="504"/>
      <c r="K764" s="503"/>
      <c r="L764" s="505"/>
      <c r="M764" s="436"/>
      <c r="N764" s="503"/>
      <c r="O764" s="436"/>
      <c r="P764" s="436"/>
      <c r="Q764" s="436"/>
      <c r="R764" s="436"/>
      <c r="S764" s="436"/>
      <c r="T764" s="436"/>
      <c r="U764" s="503"/>
      <c r="V764" s="503"/>
      <c r="W764" s="503"/>
      <c r="X764" s="506"/>
      <c r="Y764" s="506"/>
      <c r="Z764" s="506"/>
      <c r="AA764" s="436"/>
      <c r="AB764" s="436"/>
      <c r="AC764" s="436"/>
      <c r="AD764" s="436"/>
      <c r="AE764" s="508"/>
      <c r="AF764" s="508"/>
      <c r="AG764" s="508"/>
      <c r="AH764" s="508"/>
      <c r="AI764" s="436"/>
      <c r="AJ764" s="436"/>
      <c r="AK764" s="436"/>
      <c r="AL764" s="436"/>
      <c r="AM764" s="436"/>
      <c r="AN764" s="436"/>
      <c r="AO764" s="436"/>
      <c r="AP764" s="436"/>
      <c r="AQ764" s="436"/>
      <c r="AR764" s="436"/>
      <c r="AS764" s="436"/>
      <c r="AT764" s="436"/>
      <c r="AU764" s="436"/>
      <c r="AV764" s="436"/>
      <c r="AW764" s="436"/>
      <c r="AX764" s="436"/>
      <c r="AY764" s="436"/>
      <c r="AZ764" s="436"/>
      <c r="BA764" s="436"/>
      <c r="BB764" s="436"/>
      <c r="BC764" s="436"/>
      <c r="BD764" s="436"/>
      <c r="BE764" s="436"/>
      <c r="BF764" s="436"/>
      <c r="BG764" s="436"/>
      <c r="BH764" s="436"/>
      <c r="BI764" s="436"/>
      <c r="BJ764" s="436"/>
      <c r="BK764" s="436"/>
      <c r="BL764" s="436"/>
      <c r="BM764" s="436"/>
      <c r="BN764" s="436"/>
      <c r="BO764" s="339"/>
      <c r="BP764" s="436"/>
      <c r="BQ764" s="436"/>
      <c r="BR764" s="436"/>
      <c r="BS764" s="436"/>
      <c r="BT764" s="436"/>
      <c r="BU764" s="436"/>
      <c r="BV764" s="436"/>
      <c r="BW764" s="436"/>
      <c r="BX764" s="1"/>
      <c r="BY764" s="1"/>
      <c r="BZ764" s="1"/>
      <c r="CA764" s="1"/>
      <c r="CB764" s="1"/>
      <c r="CC764" s="1"/>
      <c r="CD764" s="1"/>
      <c r="CE764" s="1"/>
      <c r="CF764" s="1"/>
      <c r="CG764" s="1"/>
    </row>
    <row r="765" spans="1:85" ht="15.75" customHeight="1">
      <c r="A765" s="500"/>
      <c r="B765" s="216"/>
      <c r="C765" s="527"/>
      <c r="D765" s="216"/>
      <c r="E765" s="503"/>
      <c r="F765" s="436"/>
      <c r="G765" s="436"/>
      <c r="H765" s="503"/>
      <c r="I765" s="504"/>
      <c r="J765" s="504"/>
      <c r="K765" s="503"/>
      <c r="L765" s="505"/>
      <c r="M765" s="436"/>
      <c r="N765" s="503"/>
      <c r="O765" s="436"/>
      <c r="P765" s="436"/>
      <c r="Q765" s="436"/>
      <c r="R765" s="436"/>
      <c r="S765" s="436"/>
      <c r="T765" s="436"/>
      <c r="U765" s="503"/>
      <c r="V765" s="503"/>
      <c r="W765" s="503"/>
      <c r="X765" s="506"/>
      <c r="Y765" s="506"/>
      <c r="Z765" s="506"/>
      <c r="AA765" s="436"/>
      <c r="AB765" s="436"/>
      <c r="AC765" s="436"/>
      <c r="AD765" s="436"/>
      <c r="AE765" s="508"/>
      <c r="AF765" s="508"/>
      <c r="AG765" s="508"/>
      <c r="AH765" s="508"/>
      <c r="AI765" s="436"/>
      <c r="AJ765" s="436"/>
      <c r="AK765" s="436"/>
      <c r="AL765" s="436"/>
      <c r="AM765" s="436"/>
      <c r="AN765" s="436"/>
      <c r="AO765" s="436"/>
      <c r="AP765" s="436"/>
      <c r="AQ765" s="436"/>
      <c r="AR765" s="436"/>
      <c r="AS765" s="436"/>
      <c r="AT765" s="436"/>
      <c r="AU765" s="436"/>
      <c r="AV765" s="436"/>
      <c r="AW765" s="436"/>
      <c r="AX765" s="436"/>
      <c r="AY765" s="436"/>
      <c r="AZ765" s="436"/>
      <c r="BA765" s="436"/>
      <c r="BB765" s="436"/>
      <c r="BC765" s="436"/>
      <c r="BD765" s="436"/>
      <c r="BE765" s="436"/>
      <c r="BF765" s="436"/>
      <c r="BG765" s="436"/>
      <c r="BH765" s="436"/>
      <c r="BI765" s="436"/>
      <c r="BJ765" s="436"/>
      <c r="BK765" s="436"/>
      <c r="BL765" s="436"/>
      <c r="BM765" s="436"/>
      <c r="BN765" s="436"/>
      <c r="BO765" s="339"/>
      <c r="BP765" s="436"/>
      <c r="BQ765" s="436"/>
      <c r="BR765" s="436"/>
      <c r="BS765" s="436"/>
      <c r="BT765" s="436"/>
      <c r="BU765" s="436"/>
      <c r="BV765" s="436"/>
      <c r="BW765" s="436"/>
      <c r="BX765" s="1"/>
      <c r="BY765" s="1"/>
      <c r="BZ765" s="1"/>
      <c r="CA765" s="1"/>
      <c r="CB765" s="1"/>
      <c r="CC765" s="1"/>
      <c r="CD765" s="1"/>
      <c r="CE765" s="1"/>
      <c r="CF765" s="1"/>
      <c r="CG765" s="1"/>
    </row>
    <row r="766" spans="1:85" ht="15.75" customHeight="1">
      <c r="A766" s="500"/>
      <c r="B766" s="216"/>
      <c r="C766" s="527"/>
      <c r="D766" s="216"/>
      <c r="E766" s="503"/>
      <c r="F766" s="436"/>
      <c r="G766" s="436"/>
      <c r="H766" s="503"/>
      <c r="I766" s="504"/>
      <c r="J766" s="504"/>
      <c r="K766" s="503"/>
      <c r="L766" s="505"/>
      <c r="M766" s="436"/>
      <c r="N766" s="503"/>
      <c r="O766" s="436"/>
      <c r="P766" s="436"/>
      <c r="Q766" s="436"/>
      <c r="R766" s="436"/>
      <c r="S766" s="436"/>
      <c r="T766" s="436"/>
      <c r="U766" s="503"/>
      <c r="V766" s="503"/>
      <c r="W766" s="503"/>
      <c r="X766" s="506"/>
      <c r="Y766" s="506"/>
      <c r="Z766" s="506"/>
      <c r="AA766" s="436"/>
      <c r="AB766" s="436"/>
      <c r="AC766" s="436"/>
      <c r="AD766" s="436"/>
      <c r="AE766" s="508"/>
      <c r="AF766" s="508"/>
      <c r="AG766" s="508"/>
      <c r="AH766" s="508"/>
      <c r="AI766" s="436"/>
      <c r="AJ766" s="436"/>
      <c r="AK766" s="436"/>
      <c r="AL766" s="436"/>
      <c r="AM766" s="436"/>
      <c r="AN766" s="436"/>
      <c r="AO766" s="436"/>
      <c r="AP766" s="436"/>
      <c r="AQ766" s="436"/>
      <c r="AR766" s="436"/>
      <c r="AS766" s="436"/>
      <c r="AT766" s="436"/>
      <c r="AU766" s="436"/>
      <c r="AV766" s="436"/>
      <c r="AW766" s="436"/>
      <c r="AX766" s="436"/>
      <c r="AY766" s="436"/>
      <c r="AZ766" s="436"/>
      <c r="BA766" s="436"/>
      <c r="BB766" s="436"/>
      <c r="BC766" s="436"/>
      <c r="BD766" s="436"/>
      <c r="BE766" s="436"/>
      <c r="BF766" s="436"/>
      <c r="BG766" s="436"/>
      <c r="BH766" s="436"/>
      <c r="BI766" s="436"/>
      <c r="BJ766" s="436"/>
      <c r="BK766" s="436"/>
      <c r="BL766" s="436"/>
      <c r="BM766" s="436"/>
      <c r="BN766" s="436"/>
      <c r="BO766" s="339"/>
      <c r="BP766" s="436"/>
      <c r="BQ766" s="436"/>
      <c r="BR766" s="436"/>
      <c r="BS766" s="436"/>
      <c r="BT766" s="436"/>
      <c r="BU766" s="436"/>
      <c r="BV766" s="436"/>
      <c r="BW766" s="436"/>
      <c r="BX766" s="1"/>
      <c r="BY766" s="1"/>
      <c r="BZ766" s="1"/>
      <c r="CA766" s="1"/>
      <c r="CB766" s="1"/>
      <c r="CC766" s="1"/>
      <c r="CD766" s="1"/>
      <c r="CE766" s="1"/>
      <c r="CF766" s="1"/>
      <c r="CG766" s="1"/>
    </row>
    <row r="767" spans="1:85" ht="15.75" customHeight="1">
      <c r="A767" s="500"/>
      <c r="B767" s="216"/>
      <c r="C767" s="527"/>
      <c r="D767" s="216"/>
      <c r="E767" s="503"/>
      <c r="F767" s="436"/>
      <c r="G767" s="436"/>
      <c r="H767" s="503"/>
      <c r="I767" s="504"/>
      <c r="J767" s="504"/>
      <c r="K767" s="503"/>
      <c r="L767" s="505"/>
      <c r="M767" s="436"/>
      <c r="N767" s="503"/>
      <c r="O767" s="436"/>
      <c r="P767" s="436"/>
      <c r="Q767" s="436"/>
      <c r="R767" s="436"/>
      <c r="S767" s="436"/>
      <c r="T767" s="436"/>
      <c r="U767" s="503"/>
      <c r="V767" s="503"/>
      <c r="W767" s="503"/>
      <c r="X767" s="506"/>
      <c r="Y767" s="506"/>
      <c r="Z767" s="506"/>
      <c r="AA767" s="436"/>
      <c r="AB767" s="436"/>
      <c r="AC767" s="436"/>
      <c r="AD767" s="436"/>
      <c r="AE767" s="508"/>
      <c r="AF767" s="508"/>
      <c r="AG767" s="508"/>
      <c r="AH767" s="508"/>
      <c r="AI767" s="436"/>
      <c r="AJ767" s="436"/>
      <c r="AK767" s="436"/>
      <c r="AL767" s="436"/>
      <c r="AM767" s="436"/>
      <c r="AN767" s="436"/>
      <c r="AO767" s="436"/>
      <c r="AP767" s="436"/>
      <c r="AQ767" s="436"/>
      <c r="AR767" s="436"/>
      <c r="AS767" s="436"/>
      <c r="AT767" s="436"/>
      <c r="AU767" s="436"/>
      <c r="AV767" s="436"/>
      <c r="AW767" s="436"/>
      <c r="AX767" s="436"/>
      <c r="AY767" s="436"/>
      <c r="AZ767" s="436"/>
      <c r="BA767" s="436"/>
      <c r="BB767" s="436"/>
      <c r="BC767" s="436"/>
      <c r="BD767" s="436"/>
      <c r="BE767" s="436"/>
      <c r="BF767" s="436"/>
      <c r="BG767" s="436"/>
      <c r="BH767" s="436"/>
      <c r="BI767" s="436"/>
      <c r="BJ767" s="436"/>
      <c r="BK767" s="436"/>
      <c r="BL767" s="436"/>
      <c r="BM767" s="436"/>
      <c r="BN767" s="436"/>
      <c r="BO767" s="339"/>
      <c r="BP767" s="436"/>
      <c r="BQ767" s="436"/>
      <c r="BR767" s="436"/>
      <c r="BS767" s="436"/>
      <c r="BT767" s="436"/>
      <c r="BU767" s="436"/>
      <c r="BV767" s="436"/>
      <c r="BW767" s="436"/>
      <c r="BX767" s="1"/>
      <c r="BY767" s="1"/>
      <c r="BZ767" s="1"/>
      <c r="CA767" s="1"/>
      <c r="CB767" s="1"/>
      <c r="CC767" s="1"/>
      <c r="CD767" s="1"/>
      <c r="CE767" s="1"/>
      <c r="CF767" s="1"/>
      <c r="CG767" s="1"/>
    </row>
    <row r="768" spans="1:85" ht="15.75" customHeight="1">
      <c r="A768" s="500"/>
      <c r="B768" s="216"/>
      <c r="C768" s="527"/>
      <c r="D768" s="216"/>
      <c r="E768" s="503"/>
      <c r="F768" s="436"/>
      <c r="G768" s="436"/>
      <c r="H768" s="503"/>
      <c r="I768" s="504"/>
      <c r="J768" s="504"/>
      <c r="K768" s="503"/>
      <c r="L768" s="505"/>
      <c r="M768" s="436"/>
      <c r="N768" s="503"/>
      <c r="O768" s="436"/>
      <c r="P768" s="436"/>
      <c r="Q768" s="436"/>
      <c r="R768" s="436"/>
      <c r="S768" s="436"/>
      <c r="T768" s="436"/>
      <c r="U768" s="503"/>
      <c r="V768" s="503"/>
      <c r="W768" s="503"/>
      <c r="X768" s="506"/>
      <c r="Y768" s="506"/>
      <c r="Z768" s="506"/>
      <c r="AA768" s="436"/>
      <c r="AB768" s="436"/>
      <c r="AC768" s="436"/>
      <c r="AD768" s="436"/>
      <c r="AE768" s="508"/>
      <c r="AF768" s="508"/>
      <c r="AG768" s="508"/>
      <c r="AH768" s="508"/>
      <c r="AI768" s="436"/>
      <c r="AJ768" s="436"/>
      <c r="AK768" s="436"/>
      <c r="AL768" s="436"/>
      <c r="AM768" s="436"/>
      <c r="AN768" s="436"/>
      <c r="AO768" s="436"/>
      <c r="AP768" s="436"/>
      <c r="AQ768" s="436"/>
      <c r="AR768" s="436"/>
      <c r="AS768" s="436"/>
      <c r="AT768" s="436"/>
      <c r="AU768" s="436"/>
      <c r="AV768" s="436"/>
      <c r="AW768" s="436"/>
      <c r="AX768" s="436"/>
      <c r="AY768" s="436"/>
      <c r="AZ768" s="436"/>
      <c r="BA768" s="436"/>
      <c r="BB768" s="436"/>
      <c r="BC768" s="436"/>
      <c r="BD768" s="436"/>
      <c r="BE768" s="436"/>
      <c r="BF768" s="436"/>
      <c r="BG768" s="436"/>
      <c r="BH768" s="436"/>
      <c r="BI768" s="436"/>
      <c r="BJ768" s="436"/>
      <c r="BK768" s="436"/>
      <c r="BL768" s="436"/>
      <c r="BM768" s="436"/>
      <c r="BN768" s="436"/>
      <c r="BO768" s="339"/>
      <c r="BP768" s="436"/>
      <c r="BQ768" s="436"/>
      <c r="BR768" s="436"/>
      <c r="BS768" s="436"/>
      <c r="BT768" s="436"/>
      <c r="BU768" s="436"/>
      <c r="BV768" s="436"/>
      <c r="BW768" s="436"/>
      <c r="BX768" s="1"/>
      <c r="BY768" s="1"/>
      <c r="BZ768" s="1"/>
      <c r="CA768" s="1"/>
      <c r="CB768" s="1"/>
      <c r="CC768" s="1"/>
      <c r="CD768" s="1"/>
      <c r="CE768" s="1"/>
      <c r="CF768" s="1"/>
      <c r="CG768" s="1"/>
    </row>
    <row r="769" spans="1:85" ht="15.75" customHeight="1">
      <c r="A769" s="500"/>
      <c r="B769" s="216"/>
      <c r="C769" s="527"/>
      <c r="D769" s="216"/>
      <c r="E769" s="503"/>
      <c r="F769" s="436"/>
      <c r="G769" s="436"/>
      <c r="H769" s="503"/>
      <c r="I769" s="504"/>
      <c r="J769" s="504"/>
      <c r="K769" s="503"/>
      <c r="L769" s="505"/>
      <c r="M769" s="436"/>
      <c r="N769" s="503"/>
      <c r="O769" s="436"/>
      <c r="P769" s="436"/>
      <c r="Q769" s="436"/>
      <c r="R769" s="436"/>
      <c r="S769" s="436"/>
      <c r="T769" s="436"/>
      <c r="U769" s="503"/>
      <c r="V769" s="503"/>
      <c r="W769" s="503"/>
      <c r="X769" s="506"/>
      <c r="Y769" s="506"/>
      <c r="Z769" s="506"/>
      <c r="AA769" s="436"/>
      <c r="AB769" s="436"/>
      <c r="AC769" s="436"/>
      <c r="AD769" s="436"/>
      <c r="AE769" s="508"/>
      <c r="AF769" s="508"/>
      <c r="AG769" s="508"/>
      <c r="AH769" s="508"/>
      <c r="AI769" s="436"/>
      <c r="AJ769" s="436"/>
      <c r="AK769" s="436"/>
      <c r="AL769" s="436"/>
      <c r="AM769" s="436"/>
      <c r="AN769" s="436"/>
      <c r="AO769" s="436"/>
      <c r="AP769" s="436"/>
      <c r="AQ769" s="436"/>
      <c r="AR769" s="436"/>
      <c r="AS769" s="436"/>
      <c r="AT769" s="436"/>
      <c r="AU769" s="436"/>
      <c r="AV769" s="436"/>
      <c r="AW769" s="436"/>
      <c r="AX769" s="436"/>
      <c r="AY769" s="436"/>
      <c r="AZ769" s="436"/>
      <c r="BA769" s="436"/>
      <c r="BB769" s="436"/>
      <c r="BC769" s="436"/>
      <c r="BD769" s="436"/>
      <c r="BE769" s="436"/>
      <c r="BF769" s="436"/>
      <c r="BG769" s="436"/>
      <c r="BH769" s="436"/>
      <c r="BI769" s="436"/>
      <c r="BJ769" s="436"/>
      <c r="BK769" s="436"/>
      <c r="BL769" s="436"/>
      <c r="BM769" s="436"/>
      <c r="BN769" s="436"/>
      <c r="BO769" s="339"/>
      <c r="BP769" s="436"/>
      <c r="BQ769" s="436"/>
      <c r="BR769" s="436"/>
      <c r="BS769" s="436"/>
      <c r="BT769" s="436"/>
      <c r="BU769" s="436"/>
      <c r="BV769" s="436"/>
      <c r="BW769" s="436"/>
      <c r="BX769" s="1"/>
      <c r="BY769" s="1"/>
      <c r="BZ769" s="1"/>
      <c r="CA769" s="1"/>
      <c r="CB769" s="1"/>
      <c r="CC769" s="1"/>
      <c r="CD769" s="1"/>
      <c r="CE769" s="1"/>
      <c r="CF769" s="1"/>
      <c r="CG769" s="1"/>
    </row>
    <row r="770" spans="1:85" ht="15.75" customHeight="1">
      <c r="A770" s="500"/>
      <c r="B770" s="216"/>
      <c r="C770" s="527"/>
      <c r="D770" s="216"/>
      <c r="E770" s="503"/>
      <c r="F770" s="436"/>
      <c r="G770" s="436"/>
      <c r="H770" s="503"/>
      <c r="I770" s="504"/>
      <c r="J770" s="504"/>
      <c r="K770" s="503"/>
      <c r="L770" s="505"/>
      <c r="M770" s="436"/>
      <c r="N770" s="503"/>
      <c r="O770" s="436"/>
      <c r="P770" s="436"/>
      <c r="Q770" s="436"/>
      <c r="R770" s="436"/>
      <c r="S770" s="436"/>
      <c r="T770" s="436"/>
      <c r="U770" s="503"/>
      <c r="V770" s="503"/>
      <c r="W770" s="503"/>
      <c r="X770" s="506"/>
      <c r="Y770" s="506"/>
      <c r="Z770" s="506"/>
      <c r="AA770" s="436"/>
      <c r="AB770" s="436"/>
      <c r="AC770" s="436"/>
      <c r="AD770" s="436"/>
      <c r="AE770" s="508"/>
      <c r="AF770" s="508"/>
      <c r="AG770" s="508"/>
      <c r="AH770" s="508"/>
      <c r="AI770" s="436"/>
      <c r="AJ770" s="436"/>
      <c r="AK770" s="436"/>
      <c r="AL770" s="436"/>
      <c r="AM770" s="436"/>
      <c r="AN770" s="436"/>
      <c r="AO770" s="436"/>
      <c r="AP770" s="436"/>
      <c r="AQ770" s="436"/>
      <c r="AR770" s="436"/>
      <c r="AS770" s="436"/>
      <c r="AT770" s="436"/>
      <c r="AU770" s="436"/>
      <c r="AV770" s="436"/>
      <c r="AW770" s="436"/>
      <c r="AX770" s="436"/>
      <c r="AY770" s="436"/>
      <c r="AZ770" s="436"/>
      <c r="BA770" s="436"/>
      <c r="BB770" s="436"/>
      <c r="BC770" s="436"/>
      <c r="BD770" s="436"/>
      <c r="BE770" s="436"/>
      <c r="BF770" s="436"/>
      <c r="BG770" s="436"/>
      <c r="BH770" s="436"/>
      <c r="BI770" s="436"/>
      <c r="BJ770" s="436"/>
      <c r="BK770" s="436"/>
      <c r="BL770" s="436"/>
      <c r="BM770" s="436"/>
      <c r="BN770" s="436"/>
      <c r="BO770" s="339"/>
      <c r="BP770" s="436"/>
      <c r="BQ770" s="436"/>
      <c r="BR770" s="436"/>
      <c r="BS770" s="436"/>
      <c r="BT770" s="436"/>
      <c r="BU770" s="436"/>
      <c r="BV770" s="436"/>
      <c r="BW770" s="436"/>
      <c r="BX770" s="1"/>
      <c r="BY770" s="1"/>
      <c r="BZ770" s="1"/>
      <c r="CA770" s="1"/>
      <c r="CB770" s="1"/>
      <c r="CC770" s="1"/>
      <c r="CD770" s="1"/>
      <c r="CE770" s="1"/>
      <c r="CF770" s="1"/>
      <c r="CG770" s="1"/>
    </row>
    <row r="771" spans="1:85" ht="15.75" customHeight="1">
      <c r="A771" s="500"/>
      <c r="B771" s="216"/>
      <c r="C771" s="527"/>
      <c r="D771" s="216"/>
      <c r="E771" s="503"/>
      <c r="F771" s="436"/>
      <c r="G771" s="436"/>
      <c r="H771" s="503"/>
      <c r="I771" s="504"/>
      <c r="J771" s="504"/>
      <c r="K771" s="503"/>
      <c r="L771" s="505"/>
      <c r="M771" s="436"/>
      <c r="N771" s="503"/>
      <c r="O771" s="436"/>
      <c r="P771" s="436"/>
      <c r="Q771" s="436"/>
      <c r="R771" s="436"/>
      <c r="S771" s="436"/>
      <c r="T771" s="436"/>
      <c r="U771" s="503"/>
      <c r="V771" s="503"/>
      <c r="W771" s="503"/>
      <c r="X771" s="506"/>
      <c r="Y771" s="506"/>
      <c r="Z771" s="506"/>
      <c r="AA771" s="436"/>
      <c r="AB771" s="436"/>
      <c r="AC771" s="436"/>
      <c r="AD771" s="436"/>
      <c r="AE771" s="508"/>
      <c r="AF771" s="508"/>
      <c r="AG771" s="508"/>
      <c r="AH771" s="508"/>
      <c r="AI771" s="436"/>
      <c r="AJ771" s="436"/>
      <c r="AK771" s="436"/>
      <c r="AL771" s="436"/>
      <c r="AM771" s="436"/>
      <c r="AN771" s="436"/>
      <c r="AO771" s="436"/>
      <c r="AP771" s="436"/>
      <c r="AQ771" s="436"/>
      <c r="AR771" s="436"/>
      <c r="AS771" s="436"/>
      <c r="AT771" s="436"/>
      <c r="AU771" s="436"/>
      <c r="AV771" s="436"/>
      <c r="AW771" s="436"/>
      <c r="AX771" s="436"/>
      <c r="AY771" s="436"/>
      <c r="AZ771" s="436"/>
      <c r="BA771" s="436"/>
      <c r="BB771" s="436"/>
      <c r="BC771" s="436"/>
      <c r="BD771" s="436"/>
      <c r="BE771" s="436"/>
      <c r="BF771" s="436"/>
      <c r="BG771" s="436"/>
      <c r="BH771" s="436"/>
      <c r="BI771" s="436"/>
      <c r="BJ771" s="436"/>
      <c r="BK771" s="436"/>
      <c r="BL771" s="436"/>
      <c r="BM771" s="436"/>
      <c r="BN771" s="436"/>
      <c r="BO771" s="339"/>
      <c r="BP771" s="436"/>
      <c r="BQ771" s="436"/>
      <c r="BR771" s="436"/>
      <c r="BS771" s="436"/>
      <c r="BT771" s="436"/>
      <c r="BU771" s="436"/>
      <c r="BV771" s="436"/>
      <c r="BW771" s="436"/>
      <c r="BX771" s="1"/>
      <c r="BY771" s="1"/>
      <c r="BZ771" s="1"/>
      <c r="CA771" s="1"/>
      <c r="CB771" s="1"/>
      <c r="CC771" s="1"/>
      <c r="CD771" s="1"/>
      <c r="CE771" s="1"/>
      <c r="CF771" s="1"/>
      <c r="CG771" s="1"/>
    </row>
    <row r="772" spans="1:85" ht="15.75" customHeight="1">
      <c r="A772" s="500"/>
      <c r="B772" s="216"/>
      <c r="C772" s="527"/>
      <c r="D772" s="216"/>
      <c r="E772" s="503"/>
      <c r="F772" s="436"/>
      <c r="G772" s="436"/>
      <c r="H772" s="503"/>
      <c r="I772" s="504"/>
      <c r="J772" s="504"/>
      <c r="K772" s="503"/>
      <c r="L772" s="505"/>
      <c r="M772" s="436"/>
      <c r="N772" s="503"/>
      <c r="O772" s="436"/>
      <c r="P772" s="436"/>
      <c r="Q772" s="436"/>
      <c r="R772" s="436"/>
      <c r="S772" s="436"/>
      <c r="T772" s="436"/>
      <c r="U772" s="503"/>
      <c r="V772" s="503"/>
      <c r="W772" s="503"/>
      <c r="X772" s="506"/>
      <c r="Y772" s="506"/>
      <c r="Z772" s="506"/>
      <c r="AA772" s="436"/>
      <c r="AB772" s="436"/>
      <c r="AC772" s="436"/>
      <c r="AD772" s="436"/>
      <c r="AE772" s="508"/>
      <c r="AF772" s="508"/>
      <c r="AG772" s="508"/>
      <c r="AH772" s="508"/>
      <c r="AI772" s="436"/>
      <c r="AJ772" s="436"/>
      <c r="AK772" s="436"/>
      <c r="AL772" s="436"/>
      <c r="AM772" s="436"/>
      <c r="AN772" s="436"/>
      <c r="AO772" s="436"/>
      <c r="AP772" s="436"/>
      <c r="AQ772" s="436"/>
      <c r="AR772" s="436"/>
      <c r="AS772" s="436"/>
      <c r="AT772" s="436"/>
      <c r="AU772" s="436"/>
      <c r="AV772" s="436"/>
      <c r="AW772" s="436"/>
      <c r="AX772" s="436"/>
      <c r="AY772" s="436"/>
      <c r="AZ772" s="436"/>
      <c r="BA772" s="436"/>
      <c r="BB772" s="436"/>
      <c r="BC772" s="436"/>
      <c r="BD772" s="436"/>
      <c r="BE772" s="436"/>
      <c r="BF772" s="436"/>
      <c r="BG772" s="436"/>
      <c r="BH772" s="436"/>
      <c r="BI772" s="436"/>
      <c r="BJ772" s="436"/>
      <c r="BK772" s="436"/>
      <c r="BL772" s="436"/>
      <c r="BM772" s="436"/>
      <c r="BN772" s="436"/>
      <c r="BO772" s="339"/>
      <c r="BP772" s="436"/>
      <c r="BQ772" s="436"/>
      <c r="BR772" s="436"/>
      <c r="BS772" s="436"/>
      <c r="BT772" s="436"/>
      <c r="BU772" s="436"/>
      <c r="BV772" s="436"/>
      <c r="BW772" s="436"/>
      <c r="BX772" s="1"/>
      <c r="BY772" s="1"/>
      <c r="BZ772" s="1"/>
      <c r="CA772" s="1"/>
      <c r="CB772" s="1"/>
      <c r="CC772" s="1"/>
      <c r="CD772" s="1"/>
      <c r="CE772" s="1"/>
      <c r="CF772" s="1"/>
      <c r="CG772" s="1"/>
    </row>
    <row r="773" spans="1:85" ht="15.75" customHeight="1">
      <c r="A773" s="500"/>
      <c r="B773" s="216"/>
      <c r="C773" s="527"/>
      <c r="D773" s="216"/>
      <c r="E773" s="503"/>
      <c r="F773" s="436"/>
      <c r="G773" s="436"/>
      <c r="H773" s="503"/>
      <c r="I773" s="504"/>
      <c r="J773" s="504"/>
      <c r="K773" s="503"/>
      <c r="L773" s="505"/>
      <c r="M773" s="436"/>
      <c r="N773" s="503"/>
      <c r="O773" s="436"/>
      <c r="P773" s="436"/>
      <c r="Q773" s="436"/>
      <c r="R773" s="436"/>
      <c r="S773" s="436"/>
      <c r="T773" s="436"/>
      <c r="U773" s="503"/>
      <c r="V773" s="503"/>
      <c r="W773" s="503"/>
      <c r="X773" s="506"/>
      <c r="Y773" s="506"/>
      <c r="Z773" s="506"/>
      <c r="AA773" s="436"/>
      <c r="AB773" s="436"/>
      <c r="AC773" s="436"/>
      <c r="AD773" s="436"/>
      <c r="AE773" s="508"/>
      <c r="AF773" s="508"/>
      <c r="AG773" s="508"/>
      <c r="AH773" s="508"/>
      <c r="AI773" s="436"/>
      <c r="AJ773" s="436"/>
      <c r="AK773" s="436"/>
      <c r="AL773" s="436"/>
      <c r="AM773" s="436"/>
      <c r="AN773" s="436"/>
      <c r="AO773" s="436"/>
      <c r="AP773" s="436"/>
      <c r="AQ773" s="436"/>
      <c r="AR773" s="436"/>
      <c r="AS773" s="436"/>
      <c r="AT773" s="436"/>
      <c r="AU773" s="436"/>
      <c r="AV773" s="436"/>
      <c r="AW773" s="436"/>
      <c r="AX773" s="436"/>
      <c r="AY773" s="436"/>
      <c r="AZ773" s="436"/>
      <c r="BA773" s="436"/>
      <c r="BB773" s="436"/>
      <c r="BC773" s="436"/>
      <c r="BD773" s="436"/>
      <c r="BE773" s="436"/>
      <c r="BF773" s="436"/>
      <c r="BG773" s="436"/>
      <c r="BH773" s="436"/>
      <c r="BI773" s="436"/>
      <c r="BJ773" s="436"/>
      <c r="BK773" s="436"/>
      <c r="BL773" s="436"/>
      <c r="BM773" s="436"/>
      <c r="BN773" s="436"/>
      <c r="BO773" s="339"/>
      <c r="BP773" s="436"/>
      <c r="BQ773" s="436"/>
      <c r="BR773" s="436"/>
      <c r="BS773" s="436"/>
      <c r="BT773" s="436"/>
      <c r="BU773" s="436"/>
      <c r="BV773" s="436"/>
      <c r="BW773" s="436"/>
      <c r="BX773" s="1"/>
      <c r="BY773" s="1"/>
      <c r="BZ773" s="1"/>
      <c r="CA773" s="1"/>
      <c r="CB773" s="1"/>
      <c r="CC773" s="1"/>
      <c r="CD773" s="1"/>
      <c r="CE773" s="1"/>
      <c r="CF773" s="1"/>
      <c r="CG773" s="1"/>
    </row>
    <row r="774" spans="1:85" ht="15.75" customHeight="1">
      <c r="A774" s="500"/>
      <c r="B774" s="216"/>
      <c r="C774" s="527"/>
      <c r="D774" s="216"/>
      <c r="E774" s="503"/>
      <c r="F774" s="436"/>
      <c r="G774" s="436"/>
      <c r="H774" s="503"/>
      <c r="I774" s="504"/>
      <c r="J774" s="504"/>
      <c r="K774" s="503"/>
      <c r="L774" s="505"/>
      <c r="M774" s="436"/>
      <c r="N774" s="503"/>
      <c r="O774" s="436"/>
      <c r="P774" s="436"/>
      <c r="Q774" s="436"/>
      <c r="R774" s="436"/>
      <c r="S774" s="436"/>
      <c r="T774" s="436"/>
      <c r="U774" s="503"/>
      <c r="V774" s="503"/>
      <c r="W774" s="503"/>
      <c r="X774" s="506"/>
      <c r="Y774" s="506"/>
      <c r="Z774" s="506"/>
      <c r="AA774" s="436"/>
      <c r="AB774" s="436"/>
      <c r="AC774" s="436"/>
      <c r="AD774" s="436"/>
      <c r="AE774" s="508"/>
      <c r="AF774" s="508"/>
      <c r="AG774" s="508"/>
      <c r="AH774" s="508"/>
      <c r="AI774" s="436"/>
      <c r="AJ774" s="436"/>
      <c r="AK774" s="436"/>
      <c r="AL774" s="436"/>
      <c r="AM774" s="436"/>
      <c r="AN774" s="436"/>
      <c r="AO774" s="436"/>
      <c r="AP774" s="436"/>
      <c r="AQ774" s="436"/>
      <c r="AR774" s="436"/>
      <c r="AS774" s="436"/>
      <c r="AT774" s="436"/>
      <c r="AU774" s="436"/>
      <c r="AV774" s="436"/>
      <c r="AW774" s="436"/>
      <c r="AX774" s="436"/>
      <c r="AY774" s="436"/>
      <c r="AZ774" s="436"/>
      <c r="BA774" s="436"/>
      <c r="BB774" s="436"/>
      <c r="BC774" s="436"/>
      <c r="BD774" s="436"/>
      <c r="BE774" s="436"/>
      <c r="BF774" s="436"/>
      <c r="BG774" s="436"/>
      <c r="BH774" s="436"/>
      <c r="BI774" s="436"/>
      <c r="BJ774" s="436"/>
      <c r="BK774" s="436"/>
      <c r="BL774" s="436"/>
      <c r="BM774" s="436"/>
      <c r="BN774" s="436"/>
      <c r="BO774" s="339"/>
      <c r="BP774" s="436"/>
      <c r="BQ774" s="436"/>
      <c r="BR774" s="436"/>
      <c r="BS774" s="436"/>
      <c r="BT774" s="436"/>
      <c r="BU774" s="436"/>
      <c r="BV774" s="436"/>
      <c r="BW774" s="436"/>
      <c r="BX774" s="1"/>
      <c r="BY774" s="1"/>
      <c r="BZ774" s="1"/>
      <c r="CA774" s="1"/>
      <c r="CB774" s="1"/>
      <c r="CC774" s="1"/>
      <c r="CD774" s="1"/>
      <c r="CE774" s="1"/>
      <c r="CF774" s="1"/>
      <c r="CG774" s="1"/>
    </row>
    <row r="775" spans="1:85" ht="15.75" customHeight="1">
      <c r="A775" s="500"/>
      <c r="B775" s="216"/>
      <c r="C775" s="527"/>
      <c r="D775" s="216"/>
      <c r="E775" s="503"/>
      <c r="F775" s="436"/>
      <c r="G775" s="436"/>
      <c r="H775" s="503"/>
      <c r="I775" s="504"/>
      <c r="J775" s="504"/>
      <c r="K775" s="503"/>
      <c r="L775" s="505"/>
      <c r="M775" s="436"/>
      <c r="N775" s="503"/>
      <c r="O775" s="436"/>
      <c r="P775" s="436"/>
      <c r="Q775" s="436"/>
      <c r="R775" s="436"/>
      <c r="S775" s="436"/>
      <c r="T775" s="436"/>
      <c r="U775" s="503"/>
      <c r="V775" s="503"/>
      <c r="W775" s="503"/>
      <c r="X775" s="506"/>
      <c r="Y775" s="506"/>
      <c r="Z775" s="506"/>
      <c r="AA775" s="436"/>
      <c r="AB775" s="436"/>
      <c r="AC775" s="436"/>
      <c r="AD775" s="436"/>
      <c r="AE775" s="508"/>
      <c r="AF775" s="508"/>
      <c r="AG775" s="508"/>
      <c r="AH775" s="508"/>
      <c r="AI775" s="436"/>
      <c r="AJ775" s="436"/>
      <c r="AK775" s="436"/>
      <c r="AL775" s="436"/>
      <c r="AM775" s="436"/>
      <c r="AN775" s="436"/>
      <c r="AO775" s="436"/>
      <c r="AP775" s="436"/>
      <c r="AQ775" s="436"/>
      <c r="AR775" s="436"/>
      <c r="AS775" s="436"/>
      <c r="AT775" s="436"/>
      <c r="AU775" s="436"/>
      <c r="AV775" s="436"/>
      <c r="AW775" s="436"/>
      <c r="AX775" s="436"/>
      <c r="AY775" s="436"/>
      <c r="AZ775" s="436"/>
      <c r="BA775" s="436"/>
      <c r="BB775" s="436"/>
      <c r="BC775" s="436"/>
      <c r="BD775" s="436"/>
      <c r="BE775" s="436"/>
      <c r="BF775" s="436"/>
      <c r="BG775" s="436"/>
      <c r="BH775" s="436"/>
      <c r="BI775" s="436"/>
      <c r="BJ775" s="436"/>
      <c r="BK775" s="436"/>
      <c r="BL775" s="436"/>
      <c r="BM775" s="436"/>
      <c r="BN775" s="436"/>
      <c r="BO775" s="339"/>
      <c r="BP775" s="436"/>
      <c r="BQ775" s="436"/>
      <c r="BR775" s="436"/>
      <c r="BS775" s="436"/>
      <c r="BT775" s="436"/>
      <c r="BU775" s="436"/>
      <c r="BV775" s="436"/>
      <c r="BW775" s="436"/>
      <c r="BX775" s="1"/>
      <c r="BY775" s="1"/>
      <c r="BZ775" s="1"/>
      <c r="CA775" s="1"/>
      <c r="CB775" s="1"/>
      <c r="CC775" s="1"/>
      <c r="CD775" s="1"/>
      <c r="CE775" s="1"/>
      <c r="CF775" s="1"/>
      <c r="CG775" s="1"/>
    </row>
    <row r="776" spans="1:85" ht="15.75" customHeight="1">
      <c r="A776" s="500"/>
      <c r="B776" s="216"/>
      <c r="C776" s="527"/>
      <c r="D776" s="216"/>
      <c r="E776" s="503"/>
      <c r="F776" s="436"/>
      <c r="G776" s="436"/>
      <c r="H776" s="503"/>
      <c r="I776" s="504"/>
      <c r="J776" s="504"/>
      <c r="K776" s="503"/>
      <c r="L776" s="505"/>
      <c r="M776" s="436"/>
      <c r="N776" s="503"/>
      <c r="O776" s="436"/>
      <c r="P776" s="436"/>
      <c r="Q776" s="436"/>
      <c r="R776" s="436"/>
      <c r="S776" s="436"/>
      <c r="T776" s="436"/>
      <c r="U776" s="503"/>
      <c r="V776" s="503"/>
      <c r="W776" s="503"/>
      <c r="X776" s="506"/>
      <c r="Y776" s="506"/>
      <c r="Z776" s="506"/>
      <c r="AA776" s="436"/>
      <c r="AB776" s="436"/>
      <c r="AC776" s="436"/>
      <c r="AD776" s="436"/>
      <c r="AE776" s="508"/>
      <c r="AF776" s="508"/>
      <c r="AG776" s="508"/>
      <c r="AH776" s="508"/>
      <c r="AI776" s="436"/>
      <c r="AJ776" s="436"/>
      <c r="AK776" s="436"/>
      <c r="AL776" s="436"/>
      <c r="AM776" s="436"/>
      <c r="AN776" s="436"/>
      <c r="AO776" s="436"/>
      <c r="AP776" s="436"/>
      <c r="AQ776" s="436"/>
      <c r="AR776" s="436"/>
      <c r="AS776" s="436"/>
      <c r="AT776" s="436"/>
      <c r="AU776" s="436"/>
      <c r="AV776" s="436"/>
      <c r="AW776" s="436"/>
      <c r="AX776" s="436"/>
      <c r="AY776" s="436"/>
      <c r="AZ776" s="436"/>
      <c r="BA776" s="436"/>
      <c r="BB776" s="436"/>
      <c r="BC776" s="436"/>
      <c r="BD776" s="436"/>
      <c r="BE776" s="436"/>
      <c r="BF776" s="436"/>
      <c r="BG776" s="436"/>
      <c r="BH776" s="436"/>
      <c r="BI776" s="436"/>
      <c r="BJ776" s="436"/>
      <c r="BK776" s="436"/>
      <c r="BL776" s="436"/>
      <c r="BM776" s="436"/>
      <c r="BN776" s="436"/>
      <c r="BO776" s="339"/>
      <c r="BP776" s="436"/>
      <c r="BQ776" s="436"/>
      <c r="BR776" s="436"/>
      <c r="BS776" s="436"/>
      <c r="BT776" s="436"/>
      <c r="BU776" s="436"/>
      <c r="BV776" s="436"/>
      <c r="BW776" s="436"/>
      <c r="BX776" s="1"/>
      <c r="BY776" s="1"/>
      <c r="BZ776" s="1"/>
      <c r="CA776" s="1"/>
      <c r="CB776" s="1"/>
      <c r="CC776" s="1"/>
      <c r="CD776" s="1"/>
      <c r="CE776" s="1"/>
      <c r="CF776" s="1"/>
      <c r="CG776" s="1"/>
    </row>
    <row r="777" spans="1:85" ht="15.75" customHeight="1">
      <c r="A777" s="500"/>
      <c r="B777" s="216"/>
      <c r="C777" s="527"/>
      <c r="D777" s="216"/>
      <c r="E777" s="503"/>
      <c r="F777" s="436"/>
      <c r="G777" s="436"/>
      <c r="H777" s="503"/>
      <c r="I777" s="504"/>
      <c r="J777" s="504"/>
      <c r="K777" s="503"/>
      <c r="L777" s="505"/>
      <c r="M777" s="436"/>
      <c r="N777" s="503"/>
      <c r="O777" s="436"/>
      <c r="P777" s="436"/>
      <c r="Q777" s="436"/>
      <c r="R777" s="436"/>
      <c r="S777" s="436"/>
      <c r="T777" s="436"/>
      <c r="U777" s="503"/>
      <c r="V777" s="503"/>
      <c r="W777" s="503"/>
      <c r="X777" s="506"/>
      <c r="Y777" s="506"/>
      <c r="Z777" s="506"/>
      <c r="AA777" s="436"/>
      <c r="AB777" s="436"/>
      <c r="AC777" s="436"/>
      <c r="AD777" s="436"/>
      <c r="AE777" s="508"/>
      <c r="AF777" s="508"/>
      <c r="AG777" s="508"/>
      <c r="AH777" s="508"/>
      <c r="AI777" s="436"/>
      <c r="AJ777" s="436"/>
      <c r="AK777" s="436"/>
      <c r="AL777" s="436"/>
      <c r="AM777" s="436"/>
      <c r="AN777" s="436"/>
      <c r="AO777" s="436"/>
      <c r="AP777" s="436"/>
      <c r="AQ777" s="436"/>
      <c r="AR777" s="436"/>
      <c r="AS777" s="436"/>
      <c r="AT777" s="436"/>
      <c r="AU777" s="436"/>
      <c r="AV777" s="436"/>
      <c r="AW777" s="436"/>
      <c r="AX777" s="436"/>
      <c r="AY777" s="436"/>
      <c r="AZ777" s="436"/>
      <c r="BA777" s="436"/>
      <c r="BB777" s="436"/>
      <c r="BC777" s="436"/>
      <c r="BD777" s="436"/>
      <c r="BE777" s="436"/>
      <c r="BF777" s="436"/>
      <c r="BG777" s="436"/>
      <c r="BH777" s="436"/>
      <c r="BI777" s="436"/>
      <c r="BJ777" s="436"/>
      <c r="BK777" s="436"/>
      <c r="BL777" s="436"/>
      <c r="BM777" s="436"/>
      <c r="BN777" s="436"/>
      <c r="BO777" s="339"/>
      <c r="BP777" s="436"/>
      <c r="BQ777" s="436"/>
      <c r="BR777" s="436"/>
      <c r="BS777" s="436"/>
      <c r="BT777" s="436"/>
      <c r="BU777" s="436"/>
      <c r="BV777" s="436"/>
      <c r="BW777" s="436"/>
      <c r="BX777" s="1"/>
      <c r="BY777" s="1"/>
      <c r="BZ777" s="1"/>
      <c r="CA777" s="1"/>
      <c r="CB777" s="1"/>
      <c r="CC777" s="1"/>
      <c r="CD777" s="1"/>
      <c r="CE777" s="1"/>
      <c r="CF777" s="1"/>
      <c r="CG777" s="1"/>
    </row>
    <row r="778" spans="1:85" ht="15.75" customHeight="1">
      <c r="A778" s="500"/>
      <c r="B778" s="216"/>
      <c r="C778" s="527"/>
      <c r="D778" s="216"/>
      <c r="E778" s="503"/>
      <c r="F778" s="436"/>
      <c r="G778" s="436"/>
      <c r="H778" s="503"/>
      <c r="I778" s="504"/>
      <c r="J778" s="504"/>
      <c r="K778" s="503"/>
      <c r="L778" s="505"/>
      <c r="M778" s="436"/>
      <c r="N778" s="503"/>
      <c r="O778" s="436"/>
      <c r="P778" s="436"/>
      <c r="Q778" s="436"/>
      <c r="R778" s="436"/>
      <c r="S778" s="436"/>
      <c r="T778" s="436"/>
      <c r="U778" s="503"/>
      <c r="V778" s="503"/>
      <c r="W778" s="503"/>
      <c r="X778" s="506"/>
      <c r="Y778" s="506"/>
      <c r="Z778" s="506"/>
      <c r="AA778" s="436"/>
      <c r="AB778" s="436"/>
      <c r="AC778" s="436"/>
      <c r="AD778" s="436"/>
      <c r="AE778" s="508"/>
      <c r="AF778" s="508"/>
      <c r="AG778" s="508"/>
      <c r="AH778" s="508"/>
      <c r="AI778" s="436"/>
      <c r="AJ778" s="436"/>
      <c r="AK778" s="436"/>
      <c r="AL778" s="436"/>
      <c r="AM778" s="436"/>
      <c r="AN778" s="436"/>
      <c r="AO778" s="436"/>
      <c r="AP778" s="436"/>
      <c r="AQ778" s="436"/>
      <c r="AR778" s="436"/>
      <c r="AS778" s="436"/>
      <c r="AT778" s="436"/>
      <c r="AU778" s="436"/>
      <c r="AV778" s="436"/>
      <c r="AW778" s="436"/>
      <c r="AX778" s="436"/>
      <c r="AY778" s="436"/>
      <c r="AZ778" s="436"/>
      <c r="BA778" s="436"/>
      <c r="BB778" s="436"/>
      <c r="BC778" s="436"/>
      <c r="BD778" s="436"/>
      <c r="BE778" s="436"/>
      <c r="BF778" s="436"/>
      <c r="BG778" s="436"/>
      <c r="BH778" s="436"/>
      <c r="BI778" s="436"/>
      <c r="BJ778" s="436"/>
      <c r="BK778" s="436"/>
      <c r="BL778" s="436"/>
      <c r="BM778" s="436"/>
      <c r="BN778" s="436"/>
      <c r="BO778" s="339"/>
      <c r="BP778" s="436"/>
      <c r="BQ778" s="436"/>
      <c r="BR778" s="436"/>
      <c r="BS778" s="436"/>
      <c r="BT778" s="436"/>
      <c r="BU778" s="436"/>
      <c r="BV778" s="436"/>
      <c r="BW778" s="436"/>
      <c r="BX778" s="1"/>
      <c r="BY778" s="1"/>
      <c r="BZ778" s="1"/>
      <c r="CA778" s="1"/>
      <c r="CB778" s="1"/>
      <c r="CC778" s="1"/>
      <c r="CD778" s="1"/>
      <c r="CE778" s="1"/>
      <c r="CF778" s="1"/>
      <c r="CG778" s="1"/>
    </row>
    <row r="779" spans="1:85" ht="15.75" customHeight="1">
      <c r="A779" s="500"/>
      <c r="B779" s="216"/>
      <c r="C779" s="527"/>
      <c r="D779" s="216"/>
      <c r="E779" s="503"/>
      <c r="F779" s="436"/>
      <c r="G779" s="436"/>
      <c r="H779" s="503"/>
      <c r="I779" s="504"/>
      <c r="J779" s="504"/>
      <c r="K779" s="503"/>
      <c r="L779" s="505"/>
      <c r="M779" s="436"/>
      <c r="N779" s="503"/>
      <c r="O779" s="436"/>
      <c r="P779" s="436"/>
      <c r="Q779" s="436"/>
      <c r="R779" s="436"/>
      <c r="S779" s="436"/>
      <c r="T779" s="436"/>
      <c r="U779" s="503"/>
      <c r="V779" s="503"/>
      <c r="W779" s="503"/>
      <c r="X779" s="506"/>
      <c r="Y779" s="506"/>
      <c r="Z779" s="506"/>
      <c r="AA779" s="436"/>
      <c r="AB779" s="436"/>
      <c r="AC779" s="436"/>
      <c r="AD779" s="436"/>
      <c r="AE779" s="508"/>
      <c r="AF779" s="508"/>
      <c r="AG779" s="508"/>
      <c r="AH779" s="508"/>
      <c r="AI779" s="436"/>
      <c r="AJ779" s="436"/>
      <c r="AK779" s="436"/>
      <c r="AL779" s="436"/>
      <c r="AM779" s="436"/>
      <c r="AN779" s="436"/>
      <c r="AO779" s="436"/>
      <c r="AP779" s="436"/>
      <c r="AQ779" s="436"/>
      <c r="AR779" s="436"/>
      <c r="AS779" s="436"/>
      <c r="AT779" s="436"/>
      <c r="AU779" s="436"/>
      <c r="AV779" s="436"/>
      <c r="AW779" s="436"/>
      <c r="AX779" s="436"/>
      <c r="AY779" s="436"/>
      <c r="AZ779" s="436"/>
      <c r="BA779" s="436"/>
      <c r="BB779" s="436"/>
      <c r="BC779" s="436"/>
      <c r="BD779" s="436"/>
      <c r="BE779" s="436"/>
      <c r="BF779" s="436"/>
      <c r="BG779" s="436"/>
      <c r="BH779" s="436"/>
      <c r="BI779" s="436"/>
      <c r="BJ779" s="436"/>
      <c r="BK779" s="436"/>
      <c r="BL779" s="436"/>
      <c r="BM779" s="436"/>
      <c r="BN779" s="436"/>
      <c r="BO779" s="339"/>
      <c r="BP779" s="436"/>
      <c r="BQ779" s="436"/>
      <c r="BR779" s="436"/>
      <c r="BS779" s="436"/>
      <c r="BT779" s="436"/>
      <c r="BU779" s="436"/>
      <c r="BV779" s="436"/>
      <c r="BW779" s="436"/>
      <c r="BX779" s="1"/>
      <c r="BY779" s="1"/>
      <c r="BZ779" s="1"/>
      <c r="CA779" s="1"/>
      <c r="CB779" s="1"/>
      <c r="CC779" s="1"/>
      <c r="CD779" s="1"/>
      <c r="CE779" s="1"/>
      <c r="CF779" s="1"/>
      <c r="CG779" s="1"/>
    </row>
    <row r="780" spans="1:85" ht="15.75" customHeight="1">
      <c r="A780" s="500"/>
      <c r="B780" s="216"/>
      <c r="C780" s="527"/>
      <c r="D780" s="216"/>
      <c r="E780" s="503"/>
      <c r="F780" s="436"/>
      <c r="G780" s="436"/>
      <c r="H780" s="503"/>
      <c r="I780" s="504"/>
      <c r="J780" s="504"/>
      <c r="K780" s="503"/>
      <c r="L780" s="505"/>
      <c r="M780" s="436"/>
      <c r="N780" s="503"/>
      <c r="O780" s="436"/>
      <c r="P780" s="436"/>
      <c r="Q780" s="436"/>
      <c r="R780" s="436"/>
      <c r="S780" s="436"/>
      <c r="T780" s="436"/>
      <c r="U780" s="503"/>
      <c r="V780" s="503"/>
      <c r="W780" s="503"/>
      <c r="X780" s="506"/>
      <c r="Y780" s="506"/>
      <c r="Z780" s="506"/>
      <c r="AA780" s="436"/>
      <c r="AB780" s="436"/>
      <c r="AC780" s="436"/>
      <c r="AD780" s="436"/>
      <c r="AE780" s="508"/>
      <c r="AF780" s="508"/>
      <c r="AG780" s="508"/>
      <c r="AH780" s="508"/>
      <c r="AI780" s="436"/>
      <c r="AJ780" s="436"/>
      <c r="AK780" s="436"/>
      <c r="AL780" s="436"/>
      <c r="AM780" s="436"/>
      <c r="AN780" s="436"/>
      <c r="AO780" s="436"/>
      <c r="AP780" s="436"/>
      <c r="AQ780" s="436"/>
      <c r="AR780" s="436"/>
      <c r="AS780" s="436"/>
      <c r="AT780" s="436"/>
      <c r="AU780" s="436"/>
      <c r="AV780" s="436"/>
      <c r="AW780" s="436"/>
      <c r="AX780" s="436"/>
      <c r="AY780" s="436"/>
      <c r="AZ780" s="436"/>
      <c r="BA780" s="436"/>
      <c r="BB780" s="436"/>
      <c r="BC780" s="436"/>
      <c r="BD780" s="436"/>
      <c r="BE780" s="436"/>
      <c r="BF780" s="436"/>
      <c r="BG780" s="436"/>
      <c r="BH780" s="436"/>
      <c r="BI780" s="436"/>
      <c r="BJ780" s="436"/>
      <c r="BK780" s="436"/>
      <c r="BL780" s="436"/>
      <c r="BM780" s="436"/>
      <c r="BN780" s="436"/>
      <c r="BO780" s="339"/>
      <c r="BP780" s="436"/>
      <c r="BQ780" s="436"/>
      <c r="BR780" s="436"/>
      <c r="BS780" s="436"/>
      <c r="BT780" s="436"/>
      <c r="BU780" s="436"/>
      <c r="BV780" s="436"/>
      <c r="BW780" s="436"/>
      <c r="BX780" s="1"/>
      <c r="BY780" s="1"/>
      <c r="BZ780" s="1"/>
      <c r="CA780" s="1"/>
      <c r="CB780" s="1"/>
      <c r="CC780" s="1"/>
      <c r="CD780" s="1"/>
      <c r="CE780" s="1"/>
      <c r="CF780" s="1"/>
      <c r="CG780" s="1"/>
    </row>
    <row r="781" spans="1:85" ht="15.75" customHeight="1">
      <c r="A781" s="500"/>
      <c r="B781" s="216"/>
      <c r="C781" s="527"/>
      <c r="D781" s="216"/>
      <c r="E781" s="503"/>
      <c r="F781" s="436"/>
      <c r="G781" s="436"/>
      <c r="H781" s="503"/>
      <c r="I781" s="504"/>
      <c r="J781" s="504"/>
      <c r="K781" s="503"/>
      <c r="L781" s="505"/>
      <c r="M781" s="436"/>
      <c r="N781" s="503"/>
      <c r="O781" s="436"/>
      <c r="P781" s="436"/>
      <c r="Q781" s="436"/>
      <c r="R781" s="436"/>
      <c r="S781" s="436"/>
      <c r="T781" s="436"/>
      <c r="U781" s="503"/>
      <c r="V781" s="503"/>
      <c r="W781" s="503"/>
      <c r="X781" s="506"/>
      <c r="Y781" s="506"/>
      <c r="Z781" s="506"/>
      <c r="AA781" s="436"/>
      <c r="AB781" s="436"/>
      <c r="AC781" s="436"/>
      <c r="AD781" s="436"/>
      <c r="AE781" s="508"/>
      <c r="AF781" s="508"/>
      <c r="AG781" s="508"/>
      <c r="AH781" s="508"/>
      <c r="AI781" s="436"/>
      <c r="AJ781" s="436"/>
      <c r="AK781" s="436"/>
      <c r="AL781" s="436"/>
      <c r="AM781" s="436"/>
      <c r="AN781" s="436"/>
      <c r="AO781" s="436"/>
      <c r="AP781" s="436"/>
      <c r="AQ781" s="436"/>
      <c r="AR781" s="436"/>
      <c r="AS781" s="436"/>
      <c r="AT781" s="436"/>
      <c r="AU781" s="436"/>
      <c r="AV781" s="436"/>
      <c r="AW781" s="436"/>
      <c r="AX781" s="436"/>
      <c r="AY781" s="436"/>
      <c r="AZ781" s="436"/>
      <c r="BA781" s="436"/>
      <c r="BB781" s="436"/>
      <c r="BC781" s="436"/>
      <c r="BD781" s="436"/>
      <c r="BE781" s="436"/>
      <c r="BF781" s="436"/>
      <c r="BG781" s="436"/>
      <c r="BH781" s="436"/>
      <c r="BI781" s="436"/>
      <c r="BJ781" s="436"/>
      <c r="BK781" s="436"/>
      <c r="BL781" s="436"/>
      <c r="BM781" s="436"/>
      <c r="BN781" s="436"/>
      <c r="BO781" s="339"/>
      <c r="BP781" s="436"/>
      <c r="BQ781" s="436"/>
      <c r="BR781" s="436"/>
      <c r="BS781" s="436"/>
      <c r="BT781" s="436"/>
      <c r="BU781" s="436"/>
      <c r="BV781" s="436"/>
      <c r="BW781" s="436"/>
      <c r="BX781" s="1"/>
      <c r="BY781" s="1"/>
      <c r="BZ781" s="1"/>
      <c r="CA781" s="1"/>
      <c r="CB781" s="1"/>
      <c r="CC781" s="1"/>
      <c r="CD781" s="1"/>
      <c r="CE781" s="1"/>
      <c r="CF781" s="1"/>
      <c r="CG781" s="1"/>
    </row>
    <row r="782" spans="1:85" ht="15.75" customHeight="1">
      <c r="A782" s="500"/>
      <c r="B782" s="216"/>
      <c r="C782" s="527"/>
      <c r="D782" s="216"/>
      <c r="E782" s="503"/>
      <c r="F782" s="436"/>
      <c r="G782" s="436"/>
      <c r="H782" s="503"/>
      <c r="I782" s="504"/>
      <c r="J782" s="504"/>
      <c r="K782" s="503"/>
      <c r="L782" s="505"/>
      <c r="M782" s="436"/>
      <c r="N782" s="503"/>
      <c r="O782" s="436"/>
      <c r="P782" s="436"/>
      <c r="Q782" s="436"/>
      <c r="R782" s="436"/>
      <c r="S782" s="436"/>
      <c r="T782" s="436"/>
      <c r="U782" s="503"/>
      <c r="V782" s="503"/>
      <c r="W782" s="503"/>
      <c r="X782" s="506"/>
      <c r="Y782" s="506"/>
      <c r="Z782" s="506"/>
      <c r="AA782" s="436"/>
      <c r="AB782" s="436"/>
      <c r="AC782" s="436"/>
      <c r="AD782" s="436"/>
      <c r="AE782" s="508"/>
      <c r="AF782" s="508"/>
      <c r="AG782" s="508"/>
      <c r="AH782" s="508"/>
      <c r="AI782" s="436"/>
      <c r="AJ782" s="436"/>
      <c r="AK782" s="436"/>
      <c r="AL782" s="436"/>
      <c r="AM782" s="436"/>
      <c r="AN782" s="436"/>
      <c r="AO782" s="436"/>
      <c r="AP782" s="436"/>
      <c r="AQ782" s="436"/>
      <c r="AR782" s="436"/>
      <c r="AS782" s="436"/>
      <c r="AT782" s="436"/>
      <c r="AU782" s="436"/>
      <c r="AV782" s="436"/>
      <c r="AW782" s="436"/>
      <c r="AX782" s="436"/>
      <c r="AY782" s="436"/>
      <c r="AZ782" s="436"/>
      <c r="BA782" s="436"/>
      <c r="BB782" s="436"/>
      <c r="BC782" s="436"/>
      <c r="BD782" s="436"/>
      <c r="BE782" s="436"/>
      <c r="BF782" s="436"/>
      <c r="BG782" s="436"/>
      <c r="BH782" s="436"/>
      <c r="BI782" s="436"/>
      <c r="BJ782" s="436"/>
      <c r="BK782" s="436"/>
      <c r="BL782" s="436"/>
      <c r="BM782" s="436"/>
      <c r="BN782" s="436"/>
      <c r="BO782" s="339"/>
      <c r="BP782" s="436"/>
      <c r="BQ782" s="436"/>
      <c r="BR782" s="436"/>
      <c r="BS782" s="436"/>
      <c r="BT782" s="436"/>
      <c r="BU782" s="436"/>
      <c r="BV782" s="436"/>
      <c r="BW782" s="436"/>
      <c r="BX782" s="1"/>
      <c r="BY782" s="1"/>
      <c r="BZ782" s="1"/>
      <c r="CA782" s="1"/>
      <c r="CB782" s="1"/>
      <c r="CC782" s="1"/>
      <c r="CD782" s="1"/>
      <c r="CE782" s="1"/>
      <c r="CF782" s="1"/>
      <c r="CG782" s="1"/>
    </row>
    <row r="783" spans="1:85" ht="15.75" customHeight="1">
      <c r="A783" s="500"/>
      <c r="B783" s="216"/>
      <c r="C783" s="527"/>
      <c r="D783" s="216"/>
      <c r="E783" s="503"/>
      <c r="F783" s="436"/>
      <c r="G783" s="436"/>
      <c r="H783" s="503"/>
      <c r="I783" s="504"/>
      <c r="J783" s="504"/>
      <c r="K783" s="503"/>
      <c r="L783" s="505"/>
      <c r="M783" s="436"/>
      <c r="N783" s="503"/>
      <c r="O783" s="436"/>
      <c r="P783" s="436"/>
      <c r="Q783" s="436"/>
      <c r="R783" s="436"/>
      <c r="S783" s="436"/>
      <c r="T783" s="436"/>
      <c r="U783" s="503"/>
      <c r="V783" s="503"/>
      <c r="W783" s="503"/>
      <c r="X783" s="506"/>
      <c r="Y783" s="506"/>
      <c r="Z783" s="506"/>
      <c r="AA783" s="436"/>
      <c r="AB783" s="436"/>
      <c r="AC783" s="436"/>
      <c r="AD783" s="436"/>
      <c r="AE783" s="508"/>
      <c r="AF783" s="508"/>
      <c r="AG783" s="508"/>
      <c r="AH783" s="508"/>
      <c r="AI783" s="436"/>
      <c r="AJ783" s="436"/>
      <c r="AK783" s="436"/>
      <c r="AL783" s="436"/>
      <c r="AM783" s="436"/>
      <c r="AN783" s="436"/>
      <c r="AO783" s="436"/>
      <c r="AP783" s="436"/>
      <c r="AQ783" s="436"/>
      <c r="AR783" s="436"/>
      <c r="AS783" s="436"/>
      <c r="AT783" s="436"/>
      <c r="AU783" s="436"/>
      <c r="AV783" s="436"/>
      <c r="AW783" s="436"/>
      <c r="AX783" s="436"/>
      <c r="AY783" s="436"/>
      <c r="AZ783" s="436"/>
      <c r="BA783" s="436"/>
      <c r="BB783" s="436"/>
      <c r="BC783" s="436"/>
      <c r="BD783" s="436"/>
      <c r="BE783" s="436"/>
      <c r="BF783" s="436"/>
      <c r="BG783" s="436"/>
      <c r="BH783" s="436"/>
      <c r="BI783" s="436"/>
      <c r="BJ783" s="436"/>
      <c r="BK783" s="436"/>
      <c r="BL783" s="436"/>
      <c r="BM783" s="436"/>
      <c r="BN783" s="436"/>
      <c r="BO783" s="339"/>
      <c r="BP783" s="436"/>
      <c r="BQ783" s="436"/>
      <c r="BR783" s="436"/>
      <c r="BS783" s="436"/>
      <c r="BT783" s="436"/>
      <c r="BU783" s="436"/>
      <c r="BV783" s="436"/>
      <c r="BW783" s="436"/>
      <c r="BX783" s="1"/>
      <c r="BY783" s="1"/>
      <c r="BZ783" s="1"/>
      <c r="CA783" s="1"/>
      <c r="CB783" s="1"/>
      <c r="CC783" s="1"/>
      <c r="CD783" s="1"/>
      <c r="CE783" s="1"/>
      <c r="CF783" s="1"/>
      <c r="CG783" s="1"/>
    </row>
    <row r="784" spans="1:85" ht="15.75" customHeight="1">
      <c r="A784" s="500"/>
      <c r="B784" s="216"/>
      <c r="C784" s="527"/>
      <c r="D784" s="216"/>
      <c r="E784" s="503"/>
      <c r="F784" s="436"/>
      <c r="G784" s="436"/>
      <c r="H784" s="503"/>
      <c r="I784" s="504"/>
      <c r="J784" s="504"/>
      <c r="K784" s="503"/>
      <c r="L784" s="505"/>
      <c r="M784" s="436"/>
      <c r="N784" s="503"/>
      <c r="O784" s="436"/>
      <c r="P784" s="436"/>
      <c r="Q784" s="436"/>
      <c r="R784" s="436"/>
      <c r="S784" s="436"/>
      <c r="T784" s="436"/>
      <c r="U784" s="503"/>
      <c r="V784" s="503"/>
      <c r="W784" s="503"/>
      <c r="X784" s="506"/>
      <c r="Y784" s="506"/>
      <c r="Z784" s="506"/>
      <c r="AA784" s="436"/>
      <c r="AB784" s="436"/>
      <c r="AC784" s="436"/>
      <c r="AD784" s="436"/>
      <c r="AE784" s="508"/>
      <c r="AF784" s="508"/>
      <c r="AG784" s="508"/>
      <c r="AH784" s="508"/>
      <c r="AI784" s="436"/>
      <c r="AJ784" s="436"/>
      <c r="AK784" s="436"/>
      <c r="AL784" s="436"/>
      <c r="AM784" s="436"/>
      <c r="AN784" s="436"/>
      <c r="AO784" s="436"/>
      <c r="AP784" s="436"/>
      <c r="AQ784" s="436"/>
      <c r="AR784" s="436"/>
      <c r="AS784" s="436"/>
      <c r="AT784" s="436"/>
      <c r="AU784" s="436"/>
      <c r="AV784" s="436"/>
      <c r="AW784" s="436"/>
      <c r="AX784" s="436"/>
      <c r="AY784" s="436"/>
      <c r="AZ784" s="436"/>
      <c r="BA784" s="436"/>
      <c r="BB784" s="436"/>
      <c r="BC784" s="436"/>
      <c r="BD784" s="436"/>
      <c r="BE784" s="436"/>
      <c r="BF784" s="436"/>
      <c r="BG784" s="436"/>
      <c r="BH784" s="436"/>
      <c r="BI784" s="436"/>
      <c r="BJ784" s="436"/>
      <c r="BK784" s="436"/>
      <c r="BL784" s="436"/>
      <c r="BM784" s="436"/>
      <c r="BN784" s="436"/>
      <c r="BO784" s="339"/>
      <c r="BP784" s="436"/>
      <c r="BQ784" s="436"/>
      <c r="BR784" s="436"/>
      <c r="BS784" s="436"/>
      <c r="BT784" s="436"/>
      <c r="BU784" s="436"/>
      <c r="BV784" s="436"/>
      <c r="BW784" s="436"/>
      <c r="BX784" s="1"/>
      <c r="BY784" s="1"/>
      <c r="BZ784" s="1"/>
      <c r="CA784" s="1"/>
      <c r="CB784" s="1"/>
      <c r="CC784" s="1"/>
      <c r="CD784" s="1"/>
      <c r="CE784" s="1"/>
      <c r="CF784" s="1"/>
      <c r="CG784" s="1"/>
    </row>
    <row r="785" spans="1:85" ht="15.75" customHeight="1">
      <c r="A785" s="500"/>
      <c r="B785" s="216"/>
      <c r="C785" s="527"/>
      <c r="D785" s="216"/>
      <c r="E785" s="503"/>
      <c r="F785" s="436"/>
      <c r="G785" s="436"/>
      <c r="H785" s="503"/>
      <c r="I785" s="504"/>
      <c r="J785" s="504"/>
      <c r="K785" s="503"/>
      <c r="L785" s="505"/>
      <c r="M785" s="436"/>
      <c r="N785" s="503"/>
      <c r="O785" s="436"/>
      <c r="P785" s="436"/>
      <c r="Q785" s="436"/>
      <c r="R785" s="436"/>
      <c r="S785" s="436"/>
      <c r="T785" s="436"/>
      <c r="U785" s="503"/>
      <c r="V785" s="503"/>
      <c r="W785" s="503"/>
      <c r="X785" s="506"/>
      <c r="Y785" s="506"/>
      <c r="Z785" s="506"/>
      <c r="AA785" s="436"/>
      <c r="AB785" s="436"/>
      <c r="AC785" s="436"/>
      <c r="AD785" s="436"/>
      <c r="AE785" s="508"/>
      <c r="AF785" s="508"/>
      <c r="AG785" s="508"/>
      <c r="AH785" s="508"/>
      <c r="AI785" s="436"/>
      <c r="AJ785" s="436"/>
      <c r="AK785" s="436"/>
      <c r="AL785" s="436"/>
      <c r="AM785" s="436"/>
      <c r="AN785" s="436"/>
      <c r="AO785" s="436"/>
      <c r="AP785" s="436"/>
      <c r="AQ785" s="436"/>
      <c r="AR785" s="436"/>
      <c r="AS785" s="436"/>
      <c r="AT785" s="436"/>
      <c r="AU785" s="436"/>
      <c r="AV785" s="436"/>
      <c r="AW785" s="436"/>
      <c r="AX785" s="436"/>
      <c r="AY785" s="436"/>
      <c r="AZ785" s="436"/>
      <c r="BA785" s="436"/>
      <c r="BB785" s="436"/>
      <c r="BC785" s="436"/>
      <c r="BD785" s="436"/>
      <c r="BE785" s="436"/>
      <c r="BF785" s="436"/>
      <c r="BG785" s="436"/>
      <c r="BH785" s="436"/>
      <c r="BI785" s="436"/>
      <c r="BJ785" s="436"/>
      <c r="BK785" s="436"/>
      <c r="BL785" s="436"/>
      <c r="BM785" s="436"/>
      <c r="BN785" s="436"/>
      <c r="BO785" s="339"/>
      <c r="BP785" s="436"/>
      <c r="BQ785" s="436"/>
      <c r="BR785" s="436"/>
      <c r="BS785" s="436"/>
      <c r="BT785" s="436"/>
      <c r="BU785" s="436"/>
      <c r="BV785" s="436"/>
      <c r="BW785" s="436"/>
      <c r="BX785" s="1"/>
      <c r="BY785" s="1"/>
      <c r="BZ785" s="1"/>
      <c r="CA785" s="1"/>
      <c r="CB785" s="1"/>
      <c r="CC785" s="1"/>
      <c r="CD785" s="1"/>
      <c r="CE785" s="1"/>
      <c r="CF785" s="1"/>
      <c r="CG785" s="1"/>
    </row>
    <row r="786" spans="1:85" ht="15.75" customHeight="1">
      <c r="A786" s="500"/>
      <c r="B786" s="216"/>
      <c r="C786" s="527"/>
      <c r="D786" s="216"/>
      <c r="E786" s="503"/>
      <c r="F786" s="436"/>
      <c r="G786" s="436"/>
      <c r="H786" s="503"/>
      <c r="I786" s="504"/>
      <c r="J786" s="504"/>
      <c r="K786" s="503"/>
      <c r="L786" s="505"/>
      <c r="M786" s="436"/>
      <c r="N786" s="503"/>
      <c r="O786" s="436"/>
      <c r="P786" s="436"/>
      <c r="Q786" s="436"/>
      <c r="R786" s="436"/>
      <c r="S786" s="436"/>
      <c r="T786" s="436"/>
      <c r="U786" s="503"/>
      <c r="V786" s="503"/>
      <c r="W786" s="503"/>
      <c r="X786" s="506"/>
      <c r="Y786" s="506"/>
      <c r="Z786" s="506"/>
      <c r="AA786" s="436"/>
      <c r="AB786" s="436"/>
      <c r="AC786" s="436"/>
      <c r="AD786" s="436"/>
      <c r="AE786" s="508"/>
      <c r="AF786" s="508"/>
      <c r="AG786" s="508"/>
      <c r="AH786" s="508"/>
      <c r="AI786" s="436"/>
      <c r="AJ786" s="436"/>
      <c r="AK786" s="436"/>
      <c r="AL786" s="436"/>
      <c r="AM786" s="436"/>
      <c r="AN786" s="436"/>
      <c r="AO786" s="436"/>
      <c r="AP786" s="436"/>
      <c r="AQ786" s="436"/>
      <c r="AR786" s="436"/>
      <c r="AS786" s="436"/>
      <c r="AT786" s="436"/>
      <c r="AU786" s="436"/>
      <c r="AV786" s="436"/>
      <c r="AW786" s="436"/>
      <c r="AX786" s="436"/>
      <c r="AY786" s="436"/>
      <c r="AZ786" s="436"/>
      <c r="BA786" s="436"/>
      <c r="BB786" s="436"/>
      <c r="BC786" s="436"/>
      <c r="BD786" s="436"/>
      <c r="BE786" s="436"/>
      <c r="BF786" s="436"/>
      <c r="BG786" s="436"/>
      <c r="BH786" s="436"/>
      <c r="BI786" s="436"/>
      <c r="BJ786" s="436"/>
      <c r="BK786" s="436"/>
      <c r="BL786" s="436"/>
      <c r="BM786" s="436"/>
      <c r="BN786" s="436"/>
      <c r="BO786" s="339"/>
      <c r="BP786" s="436"/>
      <c r="BQ786" s="436"/>
      <c r="BR786" s="436"/>
      <c r="BS786" s="436"/>
      <c r="BT786" s="436"/>
      <c r="BU786" s="436"/>
      <c r="BV786" s="436"/>
      <c r="BW786" s="436"/>
      <c r="BX786" s="1"/>
      <c r="BY786" s="1"/>
      <c r="BZ786" s="1"/>
      <c r="CA786" s="1"/>
      <c r="CB786" s="1"/>
      <c r="CC786" s="1"/>
      <c r="CD786" s="1"/>
      <c r="CE786" s="1"/>
      <c r="CF786" s="1"/>
      <c r="CG786" s="1"/>
    </row>
    <row r="787" spans="1:85" ht="15.75" customHeight="1">
      <c r="A787" s="500"/>
      <c r="B787" s="216"/>
      <c r="C787" s="527"/>
      <c r="D787" s="216"/>
      <c r="E787" s="503"/>
      <c r="F787" s="436"/>
      <c r="G787" s="436"/>
      <c r="H787" s="503"/>
      <c r="I787" s="504"/>
      <c r="J787" s="504"/>
      <c r="K787" s="503"/>
      <c r="L787" s="505"/>
      <c r="M787" s="436"/>
      <c r="N787" s="503"/>
      <c r="O787" s="436"/>
      <c r="P787" s="436"/>
      <c r="Q787" s="436"/>
      <c r="R787" s="436"/>
      <c r="S787" s="436"/>
      <c r="T787" s="436"/>
      <c r="U787" s="503"/>
      <c r="V787" s="503"/>
      <c r="W787" s="503"/>
      <c r="X787" s="506"/>
      <c r="Y787" s="506"/>
      <c r="Z787" s="506"/>
      <c r="AA787" s="436"/>
      <c r="AB787" s="436"/>
      <c r="AC787" s="436"/>
      <c r="AD787" s="436"/>
      <c r="AE787" s="508"/>
      <c r="AF787" s="508"/>
      <c r="AG787" s="508"/>
      <c r="AH787" s="508"/>
      <c r="AI787" s="436"/>
      <c r="AJ787" s="436"/>
      <c r="AK787" s="436"/>
      <c r="AL787" s="436"/>
      <c r="AM787" s="436"/>
      <c r="AN787" s="436"/>
      <c r="AO787" s="436"/>
      <c r="AP787" s="436"/>
      <c r="AQ787" s="436"/>
      <c r="AR787" s="436"/>
      <c r="AS787" s="436"/>
      <c r="AT787" s="436"/>
      <c r="AU787" s="436"/>
      <c r="AV787" s="436"/>
      <c r="AW787" s="436"/>
      <c r="AX787" s="436"/>
      <c r="AY787" s="436"/>
      <c r="AZ787" s="436"/>
      <c r="BA787" s="436"/>
      <c r="BB787" s="436"/>
      <c r="BC787" s="436"/>
      <c r="BD787" s="436"/>
      <c r="BE787" s="436"/>
      <c r="BF787" s="436"/>
      <c r="BG787" s="436"/>
      <c r="BH787" s="436"/>
      <c r="BI787" s="436"/>
      <c r="BJ787" s="436"/>
      <c r="BK787" s="436"/>
      <c r="BL787" s="436"/>
      <c r="BM787" s="436"/>
      <c r="BN787" s="436"/>
      <c r="BO787" s="339"/>
      <c r="BP787" s="436"/>
      <c r="BQ787" s="436"/>
      <c r="BR787" s="436"/>
      <c r="BS787" s="436"/>
      <c r="BT787" s="436"/>
      <c r="BU787" s="436"/>
      <c r="BV787" s="436"/>
      <c r="BW787" s="436"/>
      <c r="BX787" s="1"/>
      <c r="BY787" s="1"/>
      <c r="BZ787" s="1"/>
      <c r="CA787" s="1"/>
      <c r="CB787" s="1"/>
      <c r="CC787" s="1"/>
      <c r="CD787" s="1"/>
      <c r="CE787" s="1"/>
      <c r="CF787" s="1"/>
      <c r="CG787" s="1"/>
    </row>
    <row r="788" spans="1:85" ht="15.75" customHeight="1">
      <c r="A788" s="500"/>
      <c r="B788" s="216"/>
      <c r="C788" s="527"/>
      <c r="D788" s="216"/>
      <c r="E788" s="503"/>
      <c r="F788" s="436"/>
      <c r="G788" s="436"/>
      <c r="H788" s="503"/>
      <c r="I788" s="504"/>
      <c r="J788" s="504"/>
      <c r="K788" s="503"/>
      <c r="L788" s="505"/>
      <c r="M788" s="436"/>
      <c r="N788" s="503"/>
      <c r="O788" s="436"/>
      <c r="P788" s="436"/>
      <c r="Q788" s="436"/>
      <c r="R788" s="436"/>
      <c r="S788" s="436"/>
      <c r="T788" s="436"/>
      <c r="U788" s="503"/>
      <c r="V788" s="503"/>
      <c r="W788" s="503"/>
      <c r="X788" s="506"/>
      <c r="Y788" s="506"/>
      <c r="Z788" s="506"/>
      <c r="AA788" s="436"/>
      <c r="AB788" s="436"/>
      <c r="AC788" s="436"/>
      <c r="AD788" s="436"/>
      <c r="AE788" s="508"/>
      <c r="AF788" s="508"/>
      <c r="AG788" s="508"/>
      <c r="AH788" s="508"/>
      <c r="AI788" s="436"/>
      <c r="AJ788" s="436"/>
      <c r="AK788" s="436"/>
      <c r="AL788" s="436"/>
      <c r="AM788" s="436"/>
      <c r="AN788" s="436"/>
      <c r="AO788" s="436"/>
      <c r="AP788" s="436"/>
      <c r="AQ788" s="436"/>
      <c r="AR788" s="436"/>
      <c r="AS788" s="436"/>
      <c r="AT788" s="436"/>
      <c r="AU788" s="436"/>
      <c r="AV788" s="436"/>
      <c r="AW788" s="436"/>
      <c r="AX788" s="436"/>
      <c r="AY788" s="436"/>
      <c r="AZ788" s="436"/>
      <c r="BA788" s="436"/>
      <c r="BB788" s="436"/>
      <c r="BC788" s="436"/>
      <c r="BD788" s="436"/>
      <c r="BE788" s="436"/>
      <c r="BF788" s="436"/>
      <c r="BG788" s="436"/>
      <c r="BH788" s="436"/>
      <c r="BI788" s="436"/>
      <c r="BJ788" s="436"/>
      <c r="BK788" s="436"/>
      <c r="BL788" s="436"/>
      <c r="BM788" s="436"/>
      <c r="BN788" s="436"/>
      <c r="BO788" s="339"/>
      <c r="BP788" s="436"/>
      <c r="BQ788" s="436"/>
      <c r="BR788" s="436"/>
      <c r="BS788" s="436"/>
      <c r="BT788" s="436"/>
      <c r="BU788" s="436"/>
      <c r="BV788" s="436"/>
      <c r="BW788" s="436"/>
      <c r="BX788" s="1"/>
      <c r="BY788" s="1"/>
      <c r="BZ788" s="1"/>
      <c r="CA788" s="1"/>
      <c r="CB788" s="1"/>
      <c r="CC788" s="1"/>
      <c r="CD788" s="1"/>
      <c r="CE788" s="1"/>
      <c r="CF788" s="1"/>
      <c r="CG788" s="1"/>
    </row>
    <row r="789" spans="1:85" ht="15.75" customHeight="1">
      <c r="A789" s="500"/>
      <c r="B789" s="216"/>
      <c r="C789" s="527"/>
      <c r="D789" s="216"/>
      <c r="E789" s="503"/>
      <c r="F789" s="436"/>
      <c r="G789" s="436"/>
      <c r="H789" s="503"/>
      <c r="I789" s="504"/>
      <c r="J789" s="504"/>
      <c r="K789" s="503"/>
      <c r="L789" s="505"/>
      <c r="M789" s="436"/>
      <c r="N789" s="503"/>
      <c r="O789" s="436"/>
      <c r="P789" s="436"/>
      <c r="Q789" s="436"/>
      <c r="R789" s="436"/>
      <c r="S789" s="436"/>
      <c r="T789" s="436"/>
      <c r="U789" s="503"/>
      <c r="V789" s="503"/>
      <c r="W789" s="503"/>
      <c r="X789" s="506"/>
      <c r="Y789" s="506"/>
      <c r="Z789" s="506"/>
      <c r="AA789" s="436"/>
      <c r="AB789" s="436"/>
      <c r="AC789" s="436"/>
      <c r="AD789" s="436"/>
      <c r="AE789" s="508"/>
      <c r="AF789" s="508"/>
      <c r="AG789" s="508"/>
      <c r="AH789" s="508"/>
      <c r="AI789" s="436"/>
      <c r="AJ789" s="436"/>
      <c r="AK789" s="436"/>
      <c r="AL789" s="436"/>
      <c r="AM789" s="436"/>
      <c r="AN789" s="436"/>
      <c r="AO789" s="436"/>
      <c r="AP789" s="436"/>
      <c r="AQ789" s="436"/>
      <c r="AR789" s="436"/>
      <c r="AS789" s="436"/>
      <c r="AT789" s="436"/>
      <c r="AU789" s="436"/>
      <c r="AV789" s="436"/>
      <c r="AW789" s="436"/>
      <c r="AX789" s="436"/>
      <c r="AY789" s="436"/>
      <c r="AZ789" s="436"/>
      <c r="BA789" s="436"/>
      <c r="BB789" s="436"/>
      <c r="BC789" s="436"/>
      <c r="BD789" s="436"/>
      <c r="BE789" s="436"/>
      <c r="BF789" s="436"/>
      <c r="BG789" s="436"/>
      <c r="BH789" s="436"/>
      <c r="BI789" s="436"/>
      <c r="BJ789" s="436"/>
      <c r="BK789" s="436"/>
      <c r="BL789" s="436"/>
      <c r="BM789" s="436"/>
      <c r="BN789" s="436"/>
      <c r="BO789" s="339"/>
      <c r="BP789" s="436"/>
      <c r="BQ789" s="436"/>
      <c r="BR789" s="436"/>
      <c r="BS789" s="436"/>
      <c r="BT789" s="436"/>
      <c r="BU789" s="436"/>
      <c r="BV789" s="436"/>
      <c r="BW789" s="436"/>
      <c r="BX789" s="1"/>
      <c r="BY789" s="1"/>
      <c r="BZ789" s="1"/>
      <c r="CA789" s="1"/>
      <c r="CB789" s="1"/>
      <c r="CC789" s="1"/>
      <c r="CD789" s="1"/>
      <c r="CE789" s="1"/>
      <c r="CF789" s="1"/>
      <c r="CG789" s="1"/>
    </row>
    <row r="790" spans="1:85" ht="15.75" customHeight="1">
      <c r="A790" s="500"/>
      <c r="B790" s="216"/>
      <c r="C790" s="527"/>
      <c r="D790" s="216"/>
      <c r="E790" s="503"/>
      <c r="F790" s="436"/>
      <c r="G790" s="436"/>
      <c r="H790" s="503"/>
      <c r="I790" s="504"/>
      <c r="J790" s="504"/>
      <c r="K790" s="503"/>
      <c r="L790" s="505"/>
      <c r="M790" s="436"/>
      <c r="N790" s="503"/>
      <c r="O790" s="436"/>
      <c r="P790" s="436"/>
      <c r="Q790" s="436"/>
      <c r="R790" s="436"/>
      <c r="S790" s="436"/>
      <c r="T790" s="436"/>
      <c r="U790" s="503"/>
      <c r="V790" s="503"/>
      <c r="W790" s="503"/>
      <c r="X790" s="506"/>
      <c r="Y790" s="506"/>
      <c r="Z790" s="506"/>
      <c r="AA790" s="436"/>
      <c r="AB790" s="436"/>
      <c r="AC790" s="436"/>
      <c r="AD790" s="436"/>
      <c r="AE790" s="508"/>
      <c r="AF790" s="508"/>
      <c r="AG790" s="508"/>
      <c r="AH790" s="508"/>
      <c r="AI790" s="436"/>
      <c r="AJ790" s="436"/>
      <c r="AK790" s="436"/>
      <c r="AL790" s="436"/>
      <c r="AM790" s="436"/>
      <c r="AN790" s="436"/>
      <c r="AO790" s="436"/>
      <c r="AP790" s="436"/>
      <c r="AQ790" s="436"/>
      <c r="AR790" s="436"/>
      <c r="AS790" s="436"/>
      <c r="AT790" s="436"/>
      <c r="AU790" s="436"/>
      <c r="AV790" s="436"/>
      <c r="AW790" s="436"/>
      <c r="AX790" s="436"/>
      <c r="AY790" s="436"/>
      <c r="AZ790" s="436"/>
      <c r="BA790" s="436"/>
      <c r="BB790" s="436"/>
      <c r="BC790" s="436"/>
      <c r="BD790" s="436"/>
      <c r="BE790" s="436"/>
      <c r="BF790" s="436"/>
      <c r="BG790" s="436"/>
      <c r="BH790" s="436"/>
      <c r="BI790" s="436"/>
      <c r="BJ790" s="436"/>
      <c r="BK790" s="436"/>
      <c r="BL790" s="436"/>
      <c r="BM790" s="436"/>
      <c r="BN790" s="436"/>
      <c r="BO790" s="339"/>
      <c r="BP790" s="436"/>
      <c r="BQ790" s="436"/>
      <c r="BR790" s="436"/>
      <c r="BS790" s="436"/>
      <c r="BT790" s="436"/>
      <c r="BU790" s="436"/>
      <c r="BV790" s="436"/>
      <c r="BW790" s="436"/>
      <c r="BX790" s="1"/>
      <c r="BY790" s="1"/>
      <c r="BZ790" s="1"/>
      <c r="CA790" s="1"/>
      <c r="CB790" s="1"/>
      <c r="CC790" s="1"/>
      <c r="CD790" s="1"/>
      <c r="CE790" s="1"/>
      <c r="CF790" s="1"/>
      <c r="CG790" s="1"/>
    </row>
    <row r="791" spans="1:85" ht="15.75" customHeight="1">
      <c r="A791" s="500"/>
      <c r="B791" s="216"/>
      <c r="C791" s="527"/>
      <c r="D791" s="216"/>
      <c r="E791" s="503"/>
      <c r="F791" s="436"/>
      <c r="G791" s="436"/>
      <c r="H791" s="503"/>
      <c r="I791" s="504"/>
      <c r="J791" s="504"/>
      <c r="K791" s="503"/>
      <c r="L791" s="505"/>
      <c r="M791" s="436"/>
      <c r="N791" s="503"/>
      <c r="O791" s="436"/>
      <c r="P791" s="436"/>
      <c r="Q791" s="436"/>
      <c r="R791" s="436"/>
      <c r="S791" s="436"/>
      <c r="T791" s="436"/>
      <c r="U791" s="503"/>
      <c r="V791" s="503"/>
      <c r="W791" s="503"/>
      <c r="X791" s="506"/>
      <c r="Y791" s="506"/>
      <c r="Z791" s="506"/>
      <c r="AA791" s="436"/>
      <c r="AB791" s="436"/>
      <c r="AC791" s="436"/>
      <c r="AD791" s="436"/>
      <c r="AE791" s="508"/>
      <c r="AF791" s="508"/>
      <c r="AG791" s="508"/>
      <c r="AH791" s="508"/>
      <c r="AI791" s="436"/>
      <c r="AJ791" s="436"/>
      <c r="AK791" s="436"/>
      <c r="AL791" s="436"/>
      <c r="AM791" s="436"/>
      <c r="AN791" s="436"/>
      <c r="AO791" s="436"/>
      <c r="AP791" s="436"/>
      <c r="AQ791" s="436"/>
      <c r="AR791" s="436"/>
      <c r="AS791" s="436"/>
      <c r="AT791" s="436"/>
      <c r="AU791" s="436"/>
      <c r="AV791" s="436"/>
      <c r="AW791" s="436"/>
      <c r="AX791" s="436"/>
      <c r="AY791" s="436"/>
      <c r="AZ791" s="436"/>
      <c r="BA791" s="436"/>
      <c r="BB791" s="436"/>
      <c r="BC791" s="436"/>
      <c r="BD791" s="436"/>
      <c r="BE791" s="436"/>
      <c r="BF791" s="436"/>
      <c r="BG791" s="436"/>
      <c r="BH791" s="436"/>
      <c r="BI791" s="436"/>
      <c r="BJ791" s="436"/>
      <c r="BK791" s="436"/>
      <c r="BL791" s="436"/>
      <c r="BM791" s="436"/>
      <c r="BN791" s="436"/>
      <c r="BO791" s="339"/>
      <c r="BP791" s="436"/>
      <c r="BQ791" s="436"/>
      <c r="BR791" s="436"/>
      <c r="BS791" s="436"/>
      <c r="BT791" s="436"/>
      <c r="BU791" s="436"/>
      <c r="BV791" s="436"/>
      <c r="BW791" s="436"/>
      <c r="BX791" s="1"/>
      <c r="BY791" s="1"/>
      <c r="BZ791" s="1"/>
      <c r="CA791" s="1"/>
      <c r="CB791" s="1"/>
      <c r="CC791" s="1"/>
      <c r="CD791" s="1"/>
      <c r="CE791" s="1"/>
      <c r="CF791" s="1"/>
      <c r="CG791" s="1"/>
    </row>
    <row r="792" spans="1:85" ht="15.75" customHeight="1">
      <c r="A792" s="500"/>
      <c r="B792" s="216"/>
      <c r="C792" s="527"/>
      <c r="D792" s="216"/>
      <c r="E792" s="503"/>
      <c r="F792" s="436"/>
      <c r="G792" s="436"/>
      <c r="H792" s="503"/>
      <c r="I792" s="504"/>
      <c r="J792" s="504"/>
      <c r="K792" s="503"/>
      <c r="L792" s="505"/>
      <c r="M792" s="436"/>
      <c r="N792" s="503"/>
      <c r="O792" s="436"/>
      <c r="P792" s="436"/>
      <c r="Q792" s="436"/>
      <c r="R792" s="436"/>
      <c r="S792" s="436"/>
      <c r="T792" s="436"/>
      <c r="U792" s="503"/>
      <c r="V792" s="503"/>
      <c r="W792" s="503"/>
      <c r="X792" s="506"/>
      <c r="Y792" s="506"/>
      <c r="Z792" s="506"/>
      <c r="AA792" s="436"/>
      <c r="AB792" s="436"/>
      <c r="AC792" s="436"/>
      <c r="AD792" s="436"/>
      <c r="AE792" s="508"/>
      <c r="AF792" s="508"/>
      <c r="AG792" s="508"/>
      <c r="AH792" s="508"/>
      <c r="AI792" s="436"/>
      <c r="AJ792" s="436"/>
      <c r="AK792" s="436"/>
      <c r="AL792" s="436"/>
      <c r="AM792" s="436"/>
      <c r="AN792" s="436"/>
      <c r="AO792" s="436"/>
      <c r="AP792" s="436"/>
      <c r="AQ792" s="436"/>
      <c r="AR792" s="436"/>
      <c r="AS792" s="436"/>
      <c r="AT792" s="436"/>
      <c r="AU792" s="436"/>
      <c r="AV792" s="436"/>
      <c r="AW792" s="436"/>
      <c r="AX792" s="436"/>
      <c r="AY792" s="436"/>
      <c r="AZ792" s="436"/>
      <c r="BA792" s="436"/>
      <c r="BB792" s="436"/>
      <c r="BC792" s="436"/>
      <c r="BD792" s="436"/>
      <c r="BE792" s="436"/>
      <c r="BF792" s="436"/>
      <c r="BG792" s="436"/>
      <c r="BH792" s="436"/>
      <c r="BI792" s="436"/>
      <c r="BJ792" s="436"/>
      <c r="BK792" s="436"/>
      <c r="BL792" s="436"/>
      <c r="BM792" s="436"/>
      <c r="BN792" s="436"/>
      <c r="BO792" s="339"/>
      <c r="BP792" s="436"/>
      <c r="BQ792" s="436"/>
      <c r="BR792" s="436"/>
      <c r="BS792" s="436"/>
      <c r="BT792" s="436"/>
      <c r="BU792" s="436"/>
      <c r="BV792" s="436"/>
      <c r="BW792" s="436"/>
      <c r="BX792" s="1"/>
      <c r="BY792" s="1"/>
      <c r="BZ792" s="1"/>
      <c r="CA792" s="1"/>
      <c r="CB792" s="1"/>
      <c r="CC792" s="1"/>
      <c r="CD792" s="1"/>
      <c r="CE792" s="1"/>
      <c r="CF792" s="1"/>
      <c r="CG792" s="1"/>
    </row>
    <row r="793" spans="1:85" ht="15.75" customHeight="1">
      <c r="A793" s="500"/>
      <c r="B793" s="216"/>
      <c r="C793" s="527"/>
      <c r="D793" s="216"/>
      <c r="E793" s="503"/>
      <c r="F793" s="436"/>
      <c r="G793" s="436"/>
      <c r="H793" s="503"/>
      <c r="I793" s="504"/>
      <c r="J793" s="504"/>
      <c r="K793" s="503"/>
      <c r="L793" s="505"/>
      <c r="M793" s="436"/>
      <c r="N793" s="503"/>
      <c r="O793" s="436"/>
      <c r="P793" s="436"/>
      <c r="Q793" s="436"/>
      <c r="R793" s="436"/>
      <c r="S793" s="436"/>
      <c r="T793" s="436"/>
      <c r="U793" s="503"/>
      <c r="V793" s="503"/>
      <c r="W793" s="503"/>
      <c r="X793" s="506"/>
      <c r="Y793" s="506"/>
      <c r="Z793" s="506"/>
      <c r="AA793" s="436"/>
      <c r="AB793" s="436"/>
      <c r="AC793" s="436"/>
      <c r="AD793" s="436"/>
      <c r="AE793" s="508"/>
      <c r="AF793" s="508"/>
      <c r="AG793" s="508"/>
      <c r="AH793" s="508"/>
      <c r="AI793" s="436"/>
      <c r="AJ793" s="436"/>
      <c r="AK793" s="436"/>
      <c r="AL793" s="436"/>
      <c r="AM793" s="436"/>
      <c r="AN793" s="436"/>
      <c r="AO793" s="436"/>
      <c r="AP793" s="436"/>
      <c r="AQ793" s="436"/>
      <c r="AR793" s="436"/>
      <c r="AS793" s="436"/>
      <c r="AT793" s="436"/>
      <c r="AU793" s="436"/>
      <c r="AV793" s="436"/>
      <c r="AW793" s="436"/>
      <c r="AX793" s="436"/>
      <c r="AY793" s="436"/>
      <c r="AZ793" s="436"/>
      <c r="BA793" s="436"/>
      <c r="BB793" s="436"/>
      <c r="BC793" s="436"/>
      <c r="BD793" s="436"/>
      <c r="BE793" s="436"/>
      <c r="BF793" s="436"/>
      <c r="BG793" s="436"/>
      <c r="BH793" s="436"/>
      <c r="BI793" s="436"/>
      <c r="BJ793" s="436"/>
      <c r="BK793" s="436"/>
      <c r="BL793" s="436"/>
      <c r="BM793" s="436"/>
      <c r="BN793" s="436"/>
      <c r="BO793" s="339"/>
      <c r="BP793" s="436"/>
      <c r="BQ793" s="436"/>
      <c r="BR793" s="436"/>
      <c r="BS793" s="436"/>
      <c r="BT793" s="436"/>
      <c r="BU793" s="436"/>
      <c r="BV793" s="436"/>
      <c r="BW793" s="436"/>
      <c r="BX793" s="1"/>
      <c r="BY793" s="1"/>
      <c r="BZ793" s="1"/>
      <c r="CA793" s="1"/>
      <c r="CB793" s="1"/>
      <c r="CC793" s="1"/>
      <c r="CD793" s="1"/>
      <c r="CE793" s="1"/>
      <c r="CF793" s="1"/>
      <c r="CG793" s="1"/>
    </row>
    <row r="794" spans="1:85" ht="15.75" customHeight="1">
      <c r="A794" s="500"/>
      <c r="B794" s="216"/>
      <c r="C794" s="527"/>
      <c r="D794" s="216"/>
      <c r="E794" s="503"/>
      <c r="F794" s="436"/>
      <c r="G794" s="436"/>
      <c r="H794" s="503"/>
      <c r="I794" s="504"/>
      <c r="J794" s="504"/>
      <c r="K794" s="503"/>
      <c r="L794" s="505"/>
      <c r="M794" s="436"/>
      <c r="N794" s="503"/>
      <c r="O794" s="436"/>
      <c r="P794" s="436"/>
      <c r="Q794" s="436"/>
      <c r="R794" s="436"/>
      <c r="S794" s="436"/>
      <c r="T794" s="436"/>
      <c r="U794" s="503"/>
      <c r="V794" s="503"/>
      <c r="W794" s="503"/>
      <c r="X794" s="506"/>
      <c r="Y794" s="506"/>
      <c r="Z794" s="506"/>
      <c r="AA794" s="436"/>
      <c r="AB794" s="436"/>
      <c r="AC794" s="436"/>
      <c r="AD794" s="436"/>
      <c r="AE794" s="508"/>
      <c r="AF794" s="508"/>
      <c r="AG794" s="508"/>
      <c r="AH794" s="508"/>
      <c r="AI794" s="436"/>
      <c r="AJ794" s="436"/>
      <c r="AK794" s="436"/>
      <c r="AL794" s="436"/>
      <c r="AM794" s="436"/>
      <c r="AN794" s="436"/>
      <c r="AO794" s="436"/>
      <c r="AP794" s="436"/>
      <c r="AQ794" s="436"/>
      <c r="AR794" s="436"/>
      <c r="AS794" s="436"/>
      <c r="AT794" s="436"/>
      <c r="AU794" s="436"/>
      <c r="AV794" s="436"/>
      <c r="AW794" s="436"/>
      <c r="AX794" s="436"/>
      <c r="AY794" s="436"/>
      <c r="AZ794" s="436"/>
      <c r="BA794" s="436"/>
      <c r="BB794" s="436"/>
      <c r="BC794" s="436"/>
      <c r="BD794" s="436"/>
      <c r="BE794" s="436"/>
      <c r="BF794" s="436"/>
      <c r="BG794" s="436"/>
      <c r="BH794" s="436"/>
      <c r="BI794" s="436"/>
      <c r="BJ794" s="436"/>
      <c r="BK794" s="436"/>
      <c r="BL794" s="436"/>
      <c r="BM794" s="436"/>
      <c r="BN794" s="436"/>
      <c r="BO794" s="339"/>
      <c r="BP794" s="436"/>
      <c r="BQ794" s="436"/>
      <c r="BR794" s="436"/>
      <c r="BS794" s="436"/>
      <c r="BT794" s="436"/>
      <c r="BU794" s="436"/>
      <c r="BV794" s="436"/>
      <c r="BW794" s="436"/>
      <c r="BX794" s="1"/>
      <c r="BY794" s="1"/>
      <c r="BZ794" s="1"/>
      <c r="CA794" s="1"/>
      <c r="CB794" s="1"/>
      <c r="CC794" s="1"/>
      <c r="CD794" s="1"/>
      <c r="CE794" s="1"/>
      <c r="CF794" s="1"/>
      <c r="CG794" s="1"/>
    </row>
    <row r="795" spans="1:85" ht="15.75" customHeight="1">
      <c r="A795" s="500"/>
      <c r="B795" s="216"/>
      <c r="C795" s="527"/>
      <c r="D795" s="216"/>
      <c r="E795" s="503"/>
      <c r="F795" s="436"/>
      <c r="G795" s="436"/>
      <c r="H795" s="503"/>
      <c r="I795" s="504"/>
      <c r="J795" s="504"/>
      <c r="K795" s="503"/>
      <c r="L795" s="505"/>
      <c r="M795" s="436"/>
      <c r="N795" s="503"/>
      <c r="O795" s="436"/>
      <c r="P795" s="436"/>
      <c r="Q795" s="436"/>
      <c r="R795" s="436"/>
      <c r="S795" s="436"/>
      <c r="T795" s="436"/>
      <c r="U795" s="503"/>
      <c r="V795" s="503"/>
      <c r="W795" s="503"/>
      <c r="X795" s="506"/>
      <c r="Y795" s="506"/>
      <c r="Z795" s="506"/>
      <c r="AA795" s="436"/>
      <c r="AB795" s="436"/>
      <c r="AC795" s="436"/>
      <c r="AD795" s="436"/>
      <c r="AE795" s="508"/>
      <c r="AF795" s="508"/>
      <c r="AG795" s="508"/>
      <c r="AH795" s="508"/>
      <c r="AI795" s="436"/>
      <c r="AJ795" s="436"/>
      <c r="AK795" s="436"/>
      <c r="AL795" s="436"/>
      <c r="AM795" s="436"/>
      <c r="AN795" s="436"/>
      <c r="AO795" s="436"/>
      <c r="AP795" s="436"/>
      <c r="AQ795" s="436"/>
      <c r="AR795" s="436"/>
      <c r="AS795" s="436"/>
      <c r="AT795" s="436"/>
      <c r="AU795" s="436"/>
      <c r="AV795" s="436"/>
      <c r="AW795" s="436"/>
      <c r="AX795" s="436"/>
      <c r="AY795" s="436"/>
      <c r="AZ795" s="436"/>
      <c r="BA795" s="436"/>
      <c r="BB795" s="436"/>
      <c r="BC795" s="436"/>
      <c r="BD795" s="436"/>
      <c r="BE795" s="436"/>
      <c r="BF795" s="436"/>
      <c r="BG795" s="436"/>
      <c r="BH795" s="436"/>
      <c r="BI795" s="436"/>
      <c r="BJ795" s="436"/>
      <c r="BK795" s="436"/>
      <c r="BL795" s="436"/>
      <c r="BM795" s="436"/>
      <c r="BN795" s="436"/>
      <c r="BO795" s="339"/>
      <c r="BP795" s="436"/>
      <c r="BQ795" s="436"/>
      <c r="BR795" s="436"/>
      <c r="BS795" s="436"/>
      <c r="BT795" s="436"/>
      <c r="BU795" s="436"/>
      <c r="BV795" s="436"/>
      <c r="BW795" s="436"/>
      <c r="BX795" s="1"/>
      <c r="BY795" s="1"/>
      <c r="BZ795" s="1"/>
      <c r="CA795" s="1"/>
      <c r="CB795" s="1"/>
      <c r="CC795" s="1"/>
      <c r="CD795" s="1"/>
      <c r="CE795" s="1"/>
      <c r="CF795" s="1"/>
      <c r="CG795" s="1"/>
    </row>
    <row r="796" spans="1:85" ht="15.75" customHeight="1">
      <c r="A796" s="500"/>
      <c r="B796" s="216"/>
      <c r="C796" s="527"/>
      <c r="D796" s="216"/>
      <c r="E796" s="503"/>
      <c r="F796" s="436"/>
      <c r="G796" s="436"/>
      <c r="H796" s="503"/>
      <c r="I796" s="504"/>
      <c r="J796" s="504"/>
      <c r="K796" s="503"/>
      <c r="L796" s="505"/>
      <c r="M796" s="436"/>
      <c r="N796" s="503"/>
      <c r="O796" s="436"/>
      <c r="P796" s="436"/>
      <c r="Q796" s="436"/>
      <c r="R796" s="436"/>
      <c r="S796" s="436"/>
      <c r="T796" s="436"/>
      <c r="U796" s="503"/>
      <c r="V796" s="503"/>
      <c r="W796" s="503"/>
      <c r="X796" s="506"/>
      <c r="Y796" s="506"/>
      <c r="Z796" s="506"/>
      <c r="AA796" s="436"/>
      <c r="AB796" s="436"/>
      <c r="AC796" s="436"/>
      <c r="AD796" s="436"/>
      <c r="AE796" s="508"/>
      <c r="AF796" s="508"/>
      <c r="AG796" s="508"/>
      <c r="AH796" s="508"/>
      <c r="AI796" s="436"/>
      <c r="AJ796" s="436"/>
      <c r="AK796" s="436"/>
      <c r="AL796" s="436"/>
      <c r="AM796" s="436"/>
      <c r="AN796" s="436"/>
      <c r="AO796" s="436"/>
      <c r="AP796" s="436"/>
      <c r="AQ796" s="436"/>
      <c r="AR796" s="436"/>
      <c r="AS796" s="436"/>
      <c r="AT796" s="436"/>
      <c r="AU796" s="436"/>
      <c r="AV796" s="436"/>
      <c r="AW796" s="436"/>
      <c r="AX796" s="436"/>
      <c r="AY796" s="436"/>
      <c r="AZ796" s="436"/>
      <c r="BA796" s="436"/>
      <c r="BB796" s="436"/>
      <c r="BC796" s="436"/>
      <c r="BD796" s="436"/>
      <c r="BE796" s="436"/>
      <c r="BF796" s="436"/>
      <c r="BG796" s="436"/>
      <c r="BH796" s="436"/>
      <c r="BI796" s="436"/>
      <c r="BJ796" s="436"/>
      <c r="BK796" s="436"/>
      <c r="BL796" s="436"/>
      <c r="BM796" s="436"/>
      <c r="BN796" s="436"/>
      <c r="BO796" s="339"/>
      <c r="BP796" s="436"/>
      <c r="BQ796" s="436"/>
      <c r="BR796" s="436"/>
      <c r="BS796" s="436"/>
      <c r="BT796" s="436"/>
      <c r="BU796" s="436"/>
      <c r="BV796" s="436"/>
      <c r="BW796" s="436"/>
      <c r="BX796" s="1"/>
      <c r="BY796" s="1"/>
      <c r="BZ796" s="1"/>
      <c r="CA796" s="1"/>
      <c r="CB796" s="1"/>
      <c r="CC796" s="1"/>
      <c r="CD796" s="1"/>
      <c r="CE796" s="1"/>
      <c r="CF796" s="1"/>
      <c r="CG796" s="1"/>
    </row>
    <row r="797" spans="1:85" ht="15.75" customHeight="1">
      <c r="A797" s="500"/>
      <c r="B797" s="216"/>
      <c r="C797" s="527"/>
      <c r="D797" s="216"/>
      <c r="E797" s="503"/>
      <c r="F797" s="436"/>
      <c r="G797" s="436"/>
      <c r="H797" s="503"/>
      <c r="I797" s="504"/>
      <c r="J797" s="504"/>
      <c r="K797" s="503"/>
      <c r="L797" s="505"/>
      <c r="M797" s="436"/>
      <c r="N797" s="503"/>
      <c r="O797" s="436"/>
      <c r="P797" s="436"/>
      <c r="Q797" s="436"/>
      <c r="R797" s="436"/>
      <c r="S797" s="436"/>
      <c r="T797" s="436"/>
      <c r="U797" s="503"/>
      <c r="V797" s="503"/>
      <c r="W797" s="503"/>
      <c r="X797" s="506"/>
      <c r="Y797" s="506"/>
      <c r="Z797" s="506"/>
      <c r="AA797" s="436"/>
      <c r="AB797" s="436"/>
      <c r="AC797" s="436"/>
      <c r="AD797" s="436"/>
      <c r="AE797" s="508"/>
      <c r="AF797" s="508"/>
      <c r="AG797" s="508"/>
      <c r="AH797" s="508"/>
      <c r="AI797" s="436"/>
      <c r="AJ797" s="436"/>
      <c r="AK797" s="436"/>
      <c r="AL797" s="436"/>
      <c r="AM797" s="436"/>
      <c r="AN797" s="436"/>
      <c r="AO797" s="436"/>
      <c r="AP797" s="436"/>
      <c r="AQ797" s="436"/>
      <c r="AR797" s="436"/>
      <c r="AS797" s="436"/>
      <c r="AT797" s="436"/>
      <c r="AU797" s="436"/>
      <c r="AV797" s="436"/>
      <c r="AW797" s="436"/>
      <c r="AX797" s="436"/>
      <c r="AY797" s="436"/>
      <c r="AZ797" s="436"/>
      <c r="BA797" s="436"/>
      <c r="BB797" s="436"/>
      <c r="BC797" s="436"/>
      <c r="BD797" s="436"/>
      <c r="BE797" s="436"/>
      <c r="BF797" s="436"/>
      <c r="BG797" s="436"/>
      <c r="BH797" s="436"/>
      <c r="BI797" s="436"/>
      <c r="BJ797" s="436"/>
      <c r="BK797" s="436"/>
      <c r="BL797" s="436"/>
      <c r="BM797" s="436"/>
      <c r="BN797" s="436"/>
      <c r="BO797" s="339"/>
      <c r="BP797" s="436"/>
      <c r="BQ797" s="436"/>
      <c r="BR797" s="436"/>
      <c r="BS797" s="436"/>
      <c r="BT797" s="436"/>
      <c r="BU797" s="436"/>
      <c r="BV797" s="436"/>
      <c r="BW797" s="436"/>
      <c r="BX797" s="1"/>
      <c r="BY797" s="1"/>
      <c r="BZ797" s="1"/>
      <c r="CA797" s="1"/>
      <c r="CB797" s="1"/>
      <c r="CC797" s="1"/>
      <c r="CD797" s="1"/>
      <c r="CE797" s="1"/>
      <c r="CF797" s="1"/>
      <c r="CG797" s="1"/>
    </row>
    <row r="798" spans="1:85" ht="15.75" customHeight="1">
      <c r="A798" s="500"/>
      <c r="B798" s="216"/>
      <c r="C798" s="527"/>
      <c r="D798" s="216"/>
      <c r="E798" s="503"/>
      <c r="F798" s="436"/>
      <c r="G798" s="436"/>
      <c r="H798" s="503"/>
      <c r="I798" s="504"/>
      <c r="J798" s="504"/>
      <c r="K798" s="503"/>
      <c r="L798" s="505"/>
      <c r="M798" s="436"/>
      <c r="N798" s="503"/>
      <c r="O798" s="436"/>
      <c r="P798" s="436"/>
      <c r="Q798" s="436"/>
      <c r="R798" s="436"/>
      <c r="S798" s="436"/>
      <c r="T798" s="436"/>
      <c r="U798" s="503"/>
      <c r="V798" s="503"/>
      <c r="W798" s="503"/>
      <c r="X798" s="506"/>
      <c r="Y798" s="506"/>
      <c r="Z798" s="506"/>
      <c r="AA798" s="436"/>
      <c r="AB798" s="436"/>
      <c r="AC798" s="436"/>
      <c r="AD798" s="436"/>
      <c r="AE798" s="508"/>
      <c r="AF798" s="508"/>
      <c r="AG798" s="508"/>
      <c r="AH798" s="508"/>
      <c r="AI798" s="436"/>
      <c r="AJ798" s="436"/>
      <c r="AK798" s="436"/>
      <c r="AL798" s="436"/>
      <c r="AM798" s="436"/>
      <c r="AN798" s="436"/>
      <c r="AO798" s="436"/>
      <c r="AP798" s="436"/>
      <c r="AQ798" s="436"/>
      <c r="AR798" s="436"/>
      <c r="AS798" s="436"/>
      <c r="AT798" s="436"/>
      <c r="AU798" s="436"/>
      <c r="AV798" s="436"/>
      <c r="AW798" s="436"/>
      <c r="AX798" s="436"/>
      <c r="AY798" s="436"/>
      <c r="AZ798" s="436"/>
      <c r="BA798" s="436"/>
      <c r="BB798" s="436"/>
      <c r="BC798" s="436"/>
      <c r="BD798" s="436"/>
      <c r="BE798" s="436"/>
      <c r="BF798" s="436"/>
      <c r="BG798" s="436"/>
      <c r="BH798" s="436"/>
      <c r="BI798" s="436"/>
      <c r="BJ798" s="436"/>
      <c r="BK798" s="436"/>
      <c r="BL798" s="436"/>
      <c r="BM798" s="436"/>
      <c r="BN798" s="436"/>
      <c r="BO798" s="339"/>
      <c r="BP798" s="436"/>
      <c r="BQ798" s="436"/>
      <c r="BR798" s="436"/>
      <c r="BS798" s="436"/>
      <c r="BT798" s="436"/>
      <c r="BU798" s="436"/>
      <c r="BV798" s="436"/>
      <c r="BW798" s="436"/>
      <c r="BX798" s="1"/>
      <c r="BY798" s="1"/>
      <c r="BZ798" s="1"/>
      <c r="CA798" s="1"/>
      <c r="CB798" s="1"/>
      <c r="CC798" s="1"/>
      <c r="CD798" s="1"/>
      <c r="CE798" s="1"/>
      <c r="CF798" s="1"/>
      <c r="CG798" s="1"/>
    </row>
    <row r="799" spans="1:85" ht="15.75" customHeight="1">
      <c r="A799" s="500"/>
      <c r="B799" s="216"/>
      <c r="C799" s="527"/>
      <c r="D799" s="216"/>
      <c r="E799" s="503"/>
      <c r="F799" s="436"/>
      <c r="G799" s="436"/>
      <c r="H799" s="503"/>
      <c r="I799" s="504"/>
      <c r="J799" s="504"/>
      <c r="K799" s="503"/>
      <c r="L799" s="505"/>
      <c r="M799" s="436"/>
      <c r="N799" s="503"/>
      <c r="O799" s="436"/>
      <c r="P799" s="436"/>
      <c r="Q799" s="436"/>
      <c r="R799" s="436"/>
      <c r="S799" s="436"/>
      <c r="T799" s="436"/>
      <c r="U799" s="503"/>
      <c r="V799" s="503"/>
      <c r="W799" s="503"/>
      <c r="X799" s="506"/>
      <c r="Y799" s="506"/>
      <c r="Z799" s="506"/>
      <c r="AA799" s="436"/>
      <c r="AB799" s="436"/>
      <c r="AC799" s="436"/>
      <c r="AD799" s="436"/>
      <c r="AE799" s="508"/>
      <c r="AF799" s="508"/>
      <c r="AG799" s="508"/>
      <c r="AH799" s="508"/>
      <c r="AI799" s="436"/>
      <c r="AJ799" s="436"/>
      <c r="AK799" s="436"/>
      <c r="AL799" s="436"/>
      <c r="AM799" s="436"/>
      <c r="AN799" s="436"/>
      <c r="AO799" s="436"/>
      <c r="AP799" s="436"/>
      <c r="AQ799" s="436"/>
      <c r="AR799" s="436"/>
      <c r="AS799" s="436"/>
      <c r="AT799" s="436"/>
      <c r="AU799" s="436"/>
      <c r="AV799" s="436"/>
      <c r="AW799" s="436"/>
      <c r="AX799" s="436"/>
      <c r="AY799" s="436"/>
      <c r="AZ799" s="436"/>
      <c r="BA799" s="436"/>
      <c r="BB799" s="436"/>
      <c r="BC799" s="436"/>
      <c r="BD799" s="436"/>
      <c r="BE799" s="436"/>
      <c r="BF799" s="436"/>
      <c r="BG799" s="436"/>
      <c r="BH799" s="436"/>
      <c r="BI799" s="436"/>
      <c r="BJ799" s="436"/>
      <c r="BK799" s="436"/>
      <c r="BL799" s="436"/>
      <c r="BM799" s="436"/>
      <c r="BN799" s="436"/>
      <c r="BO799" s="339"/>
      <c r="BP799" s="436"/>
      <c r="BQ799" s="436"/>
      <c r="BR799" s="436"/>
      <c r="BS799" s="436"/>
      <c r="BT799" s="436"/>
      <c r="BU799" s="436"/>
      <c r="BV799" s="436"/>
      <c r="BW799" s="436"/>
      <c r="BX799" s="1"/>
      <c r="BY799" s="1"/>
      <c r="BZ799" s="1"/>
      <c r="CA799" s="1"/>
      <c r="CB799" s="1"/>
      <c r="CC799" s="1"/>
      <c r="CD799" s="1"/>
      <c r="CE799" s="1"/>
      <c r="CF799" s="1"/>
      <c r="CG799" s="1"/>
    </row>
    <row r="800" spans="1:85" ht="15.75" customHeight="1">
      <c r="A800" s="500"/>
      <c r="B800" s="216"/>
      <c r="C800" s="527"/>
      <c r="D800" s="216"/>
      <c r="E800" s="503"/>
      <c r="F800" s="436"/>
      <c r="G800" s="436"/>
      <c r="H800" s="503"/>
      <c r="I800" s="504"/>
      <c r="J800" s="504"/>
      <c r="K800" s="503"/>
      <c r="L800" s="505"/>
      <c r="M800" s="436"/>
      <c r="N800" s="503"/>
      <c r="O800" s="436"/>
      <c r="P800" s="436"/>
      <c r="Q800" s="436"/>
      <c r="R800" s="436"/>
      <c r="S800" s="436"/>
      <c r="T800" s="436"/>
      <c r="U800" s="503"/>
      <c r="V800" s="503"/>
      <c r="W800" s="503"/>
      <c r="X800" s="506"/>
      <c r="Y800" s="506"/>
      <c r="Z800" s="506"/>
      <c r="AA800" s="436"/>
      <c r="AB800" s="436"/>
      <c r="AC800" s="436"/>
      <c r="AD800" s="436"/>
      <c r="AE800" s="508"/>
      <c r="AF800" s="508"/>
      <c r="AG800" s="508"/>
      <c r="AH800" s="508"/>
      <c r="AI800" s="436"/>
      <c r="AJ800" s="436"/>
      <c r="AK800" s="436"/>
      <c r="AL800" s="436"/>
      <c r="AM800" s="436"/>
      <c r="AN800" s="436"/>
      <c r="AO800" s="436"/>
      <c r="AP800" s="436"/>
      <c r="AQ800" s="436"/>
      <c r="AR800" s="436"/>
      <c r="AS800" s="436"/>
      <c r="AT800" s="436"/>
      <c r="AU800" s="436"/>
      <c r="AV800" s="436"/>
      <c r="AW800" s="436"/>
      <c r="AX800" s="436"/>
      <c r="AY800" s="436"/>
      <c r="AZ800" s="436"/>
      <c r="BA800" s="436"/>
      <c r="BB800" s="436"/>
      <c r="BC800" s="436"/>
      <c r="BD800" s="436"/>
      <c r="BE800" s="436"/>
      <c r="BF800" s="436"/>
      <c r="BG800" s="436"/>
      <c r="BH800" s="436"/>
      <c r="BI800" s="436"/>
      <c r="BJ800" s="436"/>
      <c r="BK800" s="436"/>
      <c r="BL800" s="436"/>
      <c r="BM800" s="436"/>
      <c r="BN800" s="436"/>
      <c r="BO800" s="339"/>
      <c r="BP800" s="436"/>
      <c r="BQ800" s="436"/>
      <c r="BR800" s="436"/>
      <c r="BS800" s="436"/>
      <c r="BT800" s="436"/>
      <c r="BU800" s="436"/>
      <c r="BV800" s="436"/>
      <c r="BW800" s="436"/>
      <c r="BX800" s="1"/>
      <c r="BY800" s="1"/>
      <c r="BZ800" s="1"/>
      <c r="CA800" s="1"/>
      <c r="CB800" s="1"/>
      <c r="CC800" s="1"/>
      <c r="CD800" s="1"/>
      <c r="CE800" s="1"/>
      <c r="CF800" s="1"/>
      <c r="CG800" s="1"/>
    </row>
    <row r="801" spans="1:85" ht="15.75" customHeight="1">
      <c r="A801" s="500"/>
      <c r="B801" s="216"/>
      <c r="C801" s="527"/>
      <c r="D801" s="216"/>
      <c r="E801" s="503"/>
      <c r="F801" s="436"/>
      <c r="G801" s="436"/>
      <c r="H801" s="503"/>
      <c r="I801" s="504"/>
      <c r="J801" s="504"/>
      <c r="K801" s="503"/>
      <c r="L801" s="505"/>
      <c r="M801" s="436"/>
      <c r="N801" s="503"/>
      <c r="O801" s="436"/>
      <c r="P801" s="436"/>
      <c r="Q801" s="436"/>
      <c r="R801" s="436"/>
      <c r="S801" s="436"/>
      <c r="T801" s="436"/>
      <c r="U801" s="503"/>
      <c r="V801" s="503"/>
      <c r="W801" s="503"/>
      <c r="X801" s="506"/>
      <c r="Y801" s="506"/>
      <c r="Z801" s="506"/>
      <c r="AA801" s="436"/>
      <c r="AB801" s="436"/>
      <c r="AC801" s="436"/>
      <c r="AD801" s="436"/>
      <c r="AE801" s="508"/>
      <c r="AF801" s="508"/>
      <c r="AG801" s="508"/>
      <c r="AH801" s="508"/>
      <c r="AI801" s="436"/>
      <c r="AJ801" s="436"/>
      <c r="AK801" s="436"/>
      <c r="AL801" s="436"/>
      <c r="AM801" s="436"/>
      <c r="AN801" s="436"/>
      <c r="AO801" s="436"/>
      <c r="AP801" s="436"/>
      <c r="AQ801" s="436"/>
      <c r="AR801" s="436"/>
      <c r="AS801" s="436"/>
      <c r="AT801" s="436"/>
      <c r="AU801" s="436"/>
      <c r="AV801" s="436"/>
      <c r="AW801" s="436"/>
      <c r="AX801" s="436"/>
      <c r="AY801" s="436"/>
      <c r="AZ801" s="436"/>
      <c r="BA801" s="436"/>
      <c r="BB801" s="436"/>
      <c r="BC801" s="436"/>
      <c r="BD801" s="436"/>
      <c r="BE801" s="436"/>
      <c r="BF801" s="436"/>
      <c r="BG801" s="436"/>
      <c r="BH801" s="436"/>
      <c r="BI801" s="436"/>
      <c r="BJ801" s="436"/>
      <c r="BK801" s="436"/>
      <c r="BL801" s="436"/>
      <c r="BM801" s="436"/>
      <c r="BN801" s="436"/>
      <c r="BO801" s="339"/>
      <c r="BP801" s="436"/>
      <c r="BQ801" s="436"/>
      <c r="BR801" s="436"/>
      <c r="BS801" s="436"/>
      <c r="BT801" s="436"/>
      <c r="BU801" s="436"/>
      <c r="BV801" s="436"/>
      <c r="BW801" s="436"/>
      <c r="BX801" s="1"/>
      <c r="BY801" s="1"/>
      <c r="BZ801" s="1"/>
      <c r="CA801" s="1"/>
      <c r="CB801" s="1"/>
      <c r="CC801" s="1"/>
      <c r="CD801" s="1"/>
      <c r="CE801" s="1"/>
      <c r="CF801" s="1"/>
      <c r="CG801" s="1"/>
    </row>
    <row r="802" spans="1:85" ht="15.75" customHeight="1">
      <c r="A802" s="500"/>
      <c r="B802" s="216"/>
      <c r="C802" s="527"/>
      <c r="D802" s="216"/>
      <c r="E802" s="503"/>
      <c r="F802" s="436"/>
      <c r="G802" s="436"/>
      <c r="H802" s="503"/>
      <c r="I802" s="504"/>
      <c r="J802" s="504"/>
      <c r="K802" s="503"/>
      <c r="L802" s="505"/>
      <c r="M802" s="436"/>
      <c r="N802" s="503"/>
      <c r="O802" s="436"/>
      <c r="P802" s="436"/>
      <c r="Q802" s="436"/>
      <c r="R802" s="436"/>
      <c r="S802" s="436"/>
      <c r="T802" s="436"/>
      <c r="U802" s="503"/>
      <c r="V802" s="503"/>
      <c r="W802" s="503"/>
      <c r="X802" s="506"/>
      <c r="Y802" s="506"/>
      <c r="Z802" s="506"/>
      <c r="AA802" s="436"/>
      <c r="AB802" s="436"/>
      <c r="AC802" s="436"/>
      <c r="AD802" s="436"/>
      <c r="AE802" s="508"/>
      <c r="AF802" s="508"/>
      <c r="AG802" s="508"/>
      <c r="AH802" s="508"/>
      <c r="AI802" s="436"/>
      <c r="AJ802" s="436"/>
      <c r="AK802" s="436"/>
      <c r="AL802" s="436"/>
      <c r="AM802" s="436"/>
      <c r="AN802" s="436"/>
      <c r="AO802" s="436"/>
      <c r="AP802" s="436"/>
      <c r="AQ802" s="436"/>
      <c r="AR802" s="436"/>
      <c r="AS802" s="436"/>
      <c r="AT802" s="436"/>
      <c r="AU802" s="436"/>
      <c r="AV802" s="436"/>
      <c r="AW802" s="436"/>
      <c r="AX802" s="436"/>
      <c r="AY802" s="436"/>
      <c r="AZ802" s="436"/>
      <c r="BA802" s="436"/>
      <c r="BB802" s="436"/>
      <c r="BC802" s="436"/>
      <c r="BD802" s="436"/>
      <c r="BE802" s="436"/>
      <c r="BF802" s="436"/>
      <c r="BG802" s="436"/>
      <c r="BH802" s="436"/>
      <c r="BI802" s="436"/>
      <c r="BJ802" s="436"/>
      <c r="BK802" s="436"/>
      <c r="BL802" s="436"/>
      <c r="BM802" s="436"/>
      <c r="BN802" s="436"/>
      <c r="BO802" s="339"/>
      <c r="BP802" s="436"/>
      <c r="BQ802" s="436"/>
      <c r="BR802" s="436"/>
      <c r="BS802" s="436"/>
      <c r="BT802" s="436"/>
      <c r="BU802" s="436"/>
      <c r="BV802" s="436"/>
      <c r="BW802" s="436"/>
      <c r="BX802" s="1"/>
      <c r="BY802" s="1"/>
      <c r="BZ802" s="1"/>
      <c r="CA802" s="1"/>
      <c r="CB802" s="1"/>
      <c r="CC802" s="1"/>
      <c r="CD802" s="1"/>
      <c r="CE802" s="1"/>
      <c r="CF802" s="1"/>
      <c r="CG802" s="1"/>
    </row>
    <row r="803" spans="1:85" ht="15.75" customHeight="1">
      <c r="A803" s="500"/>
      <c r="B803" s="216"/>
      <c r="C803" s="527"/>
      <c r="D803" s="216"/>
      <c r="E803" s="503"/>
      <c r="F803" s="436"/>
      <c r="G803" s="436"/>
      <c r="H803" s="503"/>
      <c r="I803" s="504"/>
      <c r="J803" s="504"/>
      <c r="K803" s="503"/>
      <c r="L803" s="505"/>
      <c r="M803" s="436"/>
      <c r="N803" s="503"/>
      <c r="O803" s="436"/>
      <c r="P803" s="436"/>
      <c r="Q803" s="436"/>
      <c r="R803" s="436"/>
      <c r="S803" s="436"/>
      <c r="T803" s="436"/>
      <c r="U803" s="503"/>
      <c r="V803" s="503"/>
      <c r="W803" s="503"/>
      <c r="X803" s="506"/>
      <c r="Y803" s="506"/>
      <c r="Z803" s="506"/>
      <c r="AA803" s="436"/>
      <c r="AB803" s="436"/>
      <c r="AC803" s="436"/>
      <c r="AD803" s="436"/>
      <c r="AE803" s="508"/>
      <c r="AF803" s="508"/>
      <c r="AG803" s="508"/>
      <c r="AH803" s="508"/>
      <c r="AI803" s="436"/>
      <c r="AJ803" s="436"/>
      <c r="AK803" s="436"/>
      <c r="AL803" s="436"/>
      <c r="AM803" s="436"/>
      <c r="AN803" s="436"/>
      <c r="AO803" s="436"/>
      <c r="AP803" s="436"/>
      <c r="AQ803" s="436"/>
      <c r="AR803" s="436"/>
      <c r="AS803" s="436"/>
      <c r="AT803" s="436"/>
      <c r="AU803" s="436"/>
      <c r="AV803" s="436"/>
      <c r="AW803" s="436"/>
      <c r="AX803" s="436"/>
      <c r="AY803" s="436"/>
      <c r="AZ803" s="436"/>
      <c r="BA803" s="436"/>
      <c r="BB803" s="436"/>
      <c r="BC803" s="436"/>
      <c r="BD803" s="436"/>
      <c r="BE803" s="436"/>
      <c r="BF803" s="436"/>
      <c r="BG803" s="436"/>
      <c r="BH803" s="436"/>
      <c r="BI803" s="436"/>
      <c r="BJ803" s="436"/>
      <c r="BK803" s="436"/>
      <c r="BL803" s="436"/>
      <c r="BM803" s="436"/>
      <c r="BN803" s="436"/>
      <c r="BO803" s="339"/>
      <c r="BP803" s="436"/>
      <c r="BQ803" s="436"/>
      <c r="BR803" s="436"/>
      <c r="BS803" s="436"/>
      <c r="BT803" s="436"/>
      <c r="BU803" s="436"/>
      <c r="BV803" s="436"/>
      <c r="BW803" s="436"/>
      <c r="BX803" s="1"/>
      <c r="BY803" s="1"/>
      <c r="BZ803" s="1"/>
      <c r="CA803" s="1"/>
      <c r="CB803" s="1"/>
      <c r="CC803" s="1"/>
      <c r="CD803" s="1"/>
      <c r="CE803" s="1"/>
      <c r="CF803" s="1"/>
      <c r="CG803" s="1"/>
    </row>
    <row r="804" spans="1:85" ht="15.75" customHeight="1">
      <c r="A804" s="500"/>
      <c r="B804" s="216"/>
      <c r="C804" s="527"/>
      <c r="D804" s="216"/>
      <c r="E804" s="503"/>
      <c r="F804" s="436"/>
      <c r="G804" s="436"/>
      <c r="H804" s="503"/>
      <c r="I804" s="504"/>
      <c r="J804" s="504"/>
      <c r="K804" s="503"/>
      <c r="L804" s="505"/>
      <c r="M804" s="436"/>
      <c r="N804" s="503"/>
      <c r="O804" s="436"/>
      <c r="P804" s="436"/>
      <c r="Q804" s="436"/>
      <c r="R804" s="436"/>
      <c r="S804" s="436"/>
      <c r="T804" s="436"/>
      <c r="U804" s="503"/>
      <c r="V804" s="503"/>
      <c r="W804" s="503"/>
      <c r="X804" s="506"/>
      <c r="Y804" s="506"/>
      <c r="Z804" s="506"/>
      <c r="AA804" s="436"/>
      <c r="AB804" s="436"/>
      <c r="AC804" s="436"/>
      <c r="AD804" s="436"/>
      <c r="AE804" s="508"/>
      <c r="AF804" s="508"/>
      <c r="AG804" s="508"/>
      <c r="AH804" s="508"/>
      <c r="AI804" s="436"/>
      <c r="AJ804" s="436"/>
      <c r="AK804" s="436"/>
      <c r="AL804" s="436"/>
      <c r="AM804" s="436"/>
      <c r="AN804" s="436"/>
      <c r="AO804" s="436"/>
      <c r="AP804" s="436"/>
      <c r="AQ804" s="436"/>
      <c r="AR804" s="436"/>
      <c r="AS804" s="436"/>
      <c r="AT804" s="436"/>
      <c r="AU804" s="436"/>
      <c r="AV804" s="436"/>
      <c r="AW804" s="436"/>
      <c r="AX804" s="436"/>
      <c r="AY804" s="436"/>
      <c r="AZ804" s="436"/>
      <c r="BA804" s="436"/>
      <c r="BB804" s="436"/>
      <c r="BC804" s="436"/>
      <c r="BD804" s="436"/>
      <c r="BE804" s="436"/>
      <c r="BF804" s="436"/>
      <c r="BG804" s="436"/>
      <c r="BH804" s="436"/>
      <c r="BI804" s="436"/>
      <c r="BJ804" s="436"/>
      <c r="BK804" s="436"/>
      <c r="BL804" s="436"/>
      <c r="BM804" s="436"/>
      <c r="BN804" s="436"/>
      <c r="BO804" s="339"/>
      <c r="BP804" s="436"/>
      <c r="BQ804" s="436"/>
      <c r="BR804" s="436"/>
      <c r="BS804" s="436"/>
      <c r="BT804" s="436"/>
      <c r="BU804" s="436"/>
      <c r="BV804" s="436"/>
      <c r="BW804" s="436"/>
      <c r="BX804" s="1"/>
      <c r="BY804" s="1"/>
      <c r="BZ804" s="1"/>
      <c r="CA804" s="1"/>
      <c r="CB804" s="1"/>
      <c r="CC804" s="1"/>
      <c r="CD804" s="1"/>
      <c r="CE804" s="1"/>
      <c r="CF804" s="1"/>
      <c r="CG804" s="1"/>
    </row>
    <row r="805" spans="1:85" ht="15.75" customHeight="1">
      <c r="A805" s="500"/>
      <c r="B805" s="216"/>
      <c r="C805" s="527"/>
      <c r="D805" s="216"/>
      <c r="E805" s="503"/>
      <c r="F805" s="436"/>
      <c r="G805" s="436"/>
      <c r="H805" s="503"/>
      <c r="I805" s="504"/>
      <c r="J805" s="504"/>
      <c r="K805" s="503"/>
      <c r="L805" s="505"/>
      <c r="M805" s="436"/>
      <c r="N805" s="503"/>
      <c r="O805" s="436"/>
      <c r="P805" s="436"/>
      <c r="Q805" s="436"/>
      <c r="R805" s="436"/>
      <c r="S805" s="436"/>
      <c r="T805" s="436"/>
      <c r="U805" s="503"/>
      <c r="V805" s="503"/>
      <c r="W805" s="503"/>
      <c r="X805" s="506"/>
      <c r="Y805" s="506"/>
      <c r="Z805" s="506"/>
      <c r="AA805" s="436"/>
      <c r="AB805" s="436"/>
      <c r="AC805" s="436"/>
      <c r="AD805" s="436"/>
      <c r="AE805" s="508"/>
      <c r="AF805" s="508"/>
      <c r="AG805" s="508"/>
      <c r="AH805" s="508"/>
      <c r="AI805" s="436"/>
      <c r="AJ805" s="436"/>
      <c r="AK805" s="436"/>
      <c r="AL805" s="436"/>
      <c r="AM805" s="436"/>
      <c r="AN805" s="436"/>
      <c r="AO805" s="436"/>
      <c r="AP805" s="436"/>
      <c r="AQ805" s="436"/>
      <c r="AR805" s="436"/>
      <c r="AS805" s="436"/>
      <c r="AT805" s="436"/>
      <c r="AU805" s="436"/>
      <c r="AV805" s="436"/>
      <c r="AW805" s="436"/>
      <c r="AX805" s="436"/>
      <c r="AY805" s="436"/>
      <c r="AZ805" s="436"/>
      <c r="BA805" s="436"/>
      <c r="BB805" s="436"/>
      <c r="BC805" s="436"/>
      <c r="BD805" s="436"/>
      <c r="BE805" s="436"/>
      <c r="BF805" s="436"/>
      <c r="BG805" s="436"/>
      <c r="BH805" s="436"/>
      <c r="BI805" s="436"/>
      <c r="BJ805" s="436"/>
      <c r="BK805" s="436"/>
      <c r="BL805" s="436"/>
      <c r="BM805" s="436"/>
      <c r="BN805" s="436"/>
      <c r="BO805" s="339"/>
      <c r="BP805" s="436"/>
      <c r="BQ805" s="436"/>
      <c r="BR805" s="436"/>
      <c r="BS805" s="436"/>
      <c r="BT805" s="436"/>
      <c r="BU805" s="436"/>
      <c r="BV805" s="436"/>
      <c r="BW805" s="436"/>
      <c r="BX805" s="1"/>
      <c r="BY805" s="1"/>
      <c r="BZ805" s="1"/>
      <c r="CA805" s="1"/>
      <c r="CB805" s="1"/>
      <c r="CC805" s="1"/>
      <c r="CD805" s="1"/>
      <c r="CE805" s="1"/>
      <c r="CF805" s="1"/>
      <c r="CG805" s="1"/>
    </row>
    <row r="806" spans="1:85" ht="15.75" customHeight="1">
      <c r="A806" s="500"/>
      <c r="B806" s="216"/>
      <c r="C806" s="527"/>
      <c r="D806" s="216"/>
      <c r="E806" s="503"/>
      <c r="F806" s="436"/>
      <c r="G806" s="436"/>
      <c r="H806" s="503"/>
      <c r="I806" s="504"/>
      <c r="J806" s="504"/>
      <c r="K806" s="503"/>
      <c r="L806" s="505"/>
      <c r="M806" s="436"/>
      <c r="N806" s="503"/>
      <c r="O806" s="436"/>
      <c r="P806" s="436"/>
      <c r="Q806" s="436"/>
      <c r="R806" s="436"/>
      <c r="S806" s="436"/>
      <c r="T806" s="436"/>
      <c r="U806" s="503"/>
      <c r="V806" s="503"/>
      <c r="W806" s="503"/>
      <c r="X806" s="506"/>
      <c r="Y806" s="506"/>
      <c r="Z806" s="506"/>
      <c r="AA806" s="436"/>
      <c r="AB806" s="436"/>
      <c r="AC806" s="436"/>
      <c r="AD806" s="436"/>
      <c r="AE806" s="508"/>
      <c r="AF806" s="508"/>
      <c r="AG806" s="508"/>
      <c r="AH806" s="508"/>
      <c r="AI806" s="436"/>
      <c r="AJ806" s="436"/>
      <c r="AK806" s="436"/>
      <c r="AL806" s="436"/>
      <c r="AM806" s="436"/>
      <c r="AN806" s="436"/>
      <c r="AO806" s="436"/>
      <c r="AP806" s="436"/>
      <c r="AQ806" s="436"/>
      <c r="AR806" s="436"/>
      <c r="AS806" s="436"/>
      <c r="AT806" s="436"/>
      <c r="AU806" s="436"/>
      <c r="AV806" s="436"/>
      <c r="AW806" s="436"/>
      <c r="AX806" s="436"/>
      <c r="AY806" s="436"/>
      <c r="AZ806" s="436"/>
      <c r="BA806" s="436"/>
      <c r="BB806" s="436"/>
      <c r="BC806" s="436"/>
      <c r="BD806" s="436"/>
      <c r="BE806" s="436"/>
      <c r="BF806" s="436"/>
      <c r="BG806" s="436"/>
      <c r="BH806" s="436"/>
      <c r="BI806" s="436"/>
      <c r="BJ806" s="436"/>
      <c r="BK806" s="436"/>
      <c r="BL806" s="436"/>
      <c r="BM806" s="436"/>
      <c r="BN806" s="436"/>
      <c r="BO806" s="339"/>
      <c r="BP806" s="436"/>
      <c r="BQ806" s="436"/>
      <c r="BR806" s="436"/>
      <c r="BS806" s="436"/>
      <c r="BT806" s="436"/>
      <c r="BU806" s="436"/>
      <c r="BV806" s="436"/>
      <c r="BW806" s="436"/>
      <c r="BX806" s="1"/>
      <c r="BY806" s="1"/>
      <c r="BZ806" s="1"/>
      <c r="CA806" s="1"/>
      <c r="CB806" s="1"/>
      <c r="CC806" s="1"/>
      <c r="CD806" s="1"/>
      <c r="CE806" s="1"/>
      <c r="CF806" s="1"/>
      <c r="CG806" s="1"/>
    </row>
    <row r="807" spans="1:85" ht="15.75" customHeight="1">
      <c r="A807" s="500"/>
      <c r="B807" s="216"/>
      <c r="C807" s="527"/>
      <c r="D807" s="216"/>
      <c r="E807" s="503"/>
      <c r="F807" s="436"/>
      <c r="G807" s="436"/>
      <c r="H807" s="503"/>
      <c r="I807" s="504"/>
      <c r="J807" s="504"/>
      <c r="K807" s="503"/>
      <c r="L807" s="505"/>
      <c r="M807" s="436"/>
      <c r="N807" s="503"/>
      <c r="O807" s="436"/>
      <c r="P807" s="436"/>
      <c r="Q807" s="436"/>
      <c r="R807" s="436"/>
      <c r="S807" s="436"/>
      <c r="T807" s="436"/>
      <c r="U807" s="503"/>
      <c r="V807" s="503"/>
      <c r="W807" s="503"/>
      <c r="X807" s="506"/>
      <c r="Y807" s="506"/>
      <c r="Z807" s="506"/>
      <c r="AA807" s="436"/>
      <c r="AB807" s="436"/>
      <c r="AC807" s="436"/>
      <c r="AD807" s="436"/>
      <c r="AE807" s="508"/>
      <c r="AF807" s="508"/>
      <c r="AG807" s="508"/>
      <c r="AH807" s="508"/>
      <c r="AI807" s="436"/>
      <c r="AJ807" s="436"/>
      <c r="AK807" s="436"/>
      <c r="AL807" s="436"/>
      <c r="AM807" s="436"/>
      <c r="AN807" s="436"/>
      <c r="AO807" s="436"/>
      <c r="AP807" s="436"/>
      <c r="AQ807" s="436"/>
      <c r="AR807" s="436"/>
      <c r="AS807" s="436"/>
      <c r="AT807" s="436"/>
      <c r="AU807" s="436"/>
      <c r="AV807" s="436"/>
      <c r="AW807" s="436"/>
      <c r="AX807" s="436"/>
      <c r="AY807" s="436"/>
      <c r="AZ807" s="436"/>
      <c r="BA807" s="436"/>
      <c r="BB807" s="436"/>
      <c r="BC807" s="436"/>
      <c r="BD807" s="436"/>
      <c r="BE807" s="436"/>
      <c r="BF807" s="436"/>
      <c r="BG807" s="436"/>
      <c r="BH807" s="436"/>
      <c r="BI807" s="436"/>
      <c r="BJ807" s="436"/>
      <c r="BK807" s="436"/>
      <c r="BL807" s="436"/>
      <c r="BM807" s="436"/>
      <c r="BN807" s="436"/>
      <c r="BO807" s="339"/>
      <c r="BP807" s="436"/>
      <c r="BQ807" s="436"/>
      <c r="BR807" s="436"/>
      <c r="BS807" s="436"/>
      <c r="BT807" s="436"/>
      <c r="BU807" s="436"/>
      <c r="BV807" s="436"/>
      <c r="BW807" s="436"/>
      <c r="BX807" s="1"/>
      <c r="BY807" s="1"/>
      <c r="BZ807" s="1"/>
      <c r="CA807" s="1"/>
      <c r="CB807" s="1"/>
      <c r="CC807" s="1"/>
      <c r="CD807" s="1"/>
      <c r="CE807" s="1"/>
      <c r="CF807" s="1"/>
      <c r="CG807" s="1"/>
    </row>
    <row r="808" spans="1:85" ht="15.75" customHeight="1">
      <c r="A808" s="500"/>
      <c r="B808" s="216"/>
      <c r="C808" s="527"/>
      <c r="D808" s="216"/>
      <c r="E808" s="503"/>
      <c r="F808" s="436"/>
      <c r="G808" s="436"/>
      <c r="H808" s="503"/>
      <c r="I808" s="504"/>
      <c r="J808" s="504"/>
      <c r="K808" s="503"/>
      <c r="L808" s="505"/>
      <c r="M808" s="436"/>
      <c r="N808" s="503"/>
      <c r="O808" s="436"/>
      <c r="P808" s="436"/>
      <c r="Q808" s="436"/>
      <c r="R808" s="436"/>
      <c r="S808" s="436"/>
      <c r="T808" s="436"/>
      <c r="U808" s="503"/>
      <c r="V808" s="503"/>
      <c r="W808" s="503"/>
      <c r="X808" s="506"/>
      <c r="Y808" s="506"/>
      <c r="Z808" s="506"/>
      <c r="AA808" s="436"/>
      <c r="AB808" s="436"/>
      <c r="AC808" s="436"/>
      <c r="AD808" s="436"/>
      <c r="AE808" s="508"/>
      <c r="AF808" s="508"/>
      <c r="AG808" s="508"/>
      <c r="AH808" s="508"/>
      <c r="AI808" s="436"/>
      <c r="AJ808" s="436"/>
      <c r="AK808" s="436"/>
      <c r="AL808" s="436"/>
      <c r="AM808" s="436"/>
      <c r="AN808" s="436"/>
      <c r="AO808" s="436"/>
      <c r="AP808" s="436"/>
      <c r="AQ808" s="436"/>
      <c r="AR808" s="436"/>
      <c r="AS808" s="436"/>
      <c r="AT808" s="436"/>
      <c r="AU808" s="436"/>
      <c r="AV808" s="436"/>
      <c r="AW808" s="436"/>
      <c r="AX808" s="436"/>
      <c r="AY808" s="436"/>
      <c r="AZ808" s="436"/>
      <c r="BA808" s="436"/>
      <c r="BB808" s="436"/>
      <c r="BC808" s="436"/>
      <c r="BD808" s="436"/>
      <c r="BE808" s="436"/>
      <c r="BF808" s="436"/>
      <c r="BG808" s="436"/>
      <c r="BH808" s="436"/>
      <c r="BI808" s="436"/>
      <c r="BJ808" s="436"/>
      <c r="BK808" s="436"/>
      <c r="BL808" s="436"/>
      <c r="BM808" s="436"/>
      <c r="BN808" s="436"/>
      <c r="BO808" s="339"/>
      <c r="BP808" s="436"/>
      <c r="BQ808" s="436"/>
      <c r="BR808" s="436"/>
      <c r="BS808" s="436"/>
      <c r="BT808" s="436"/>
      <c r="BU808" s="436"/>
      <c r="BV808" s="436"/>
      <c r="BW808" s="436"/>
      <c r="BX808" s="1"/>
      <c r="BY808" s="1"/>
      <c r="BZ808" s="1"/>
      <c r="CA808" s="1"/>
      <c r="CB808" s="1"/>
      <c r="CC808" s="1"/>
      <c r="CD808" s="1"/>
      <c r="CE808" s="1"/>
      <c r="CF808" s="1"/>
      <c r="CG808" s="1"/>
    </row>
    <row r="809" spans="1:85" ht="15.75" customHeight="1">
      <c r="A809" s="500"/>
      <c r="B809" s="216"/>
      <c r="C809" s="527"/>
      <c r="D809" s="216"/>
      <c r="E809" s="503"/>
      <c r="F809" s="436"/>
      <c r="G809" s="436"/>
      <c r="H809" s="503"/>
      <c r="I809" s="504"/>
      <c r="J809" s="504"/>
      <c r="K809" s="503"/>
      <c r="L809" s="505"/>
      <c r="M809" s="436"/>
      <c r="N809" s="503"/>
      <c r="O809" s="436"/>
      <c r="P809" s="436"/>
      <c r="Q809" s="436"/>
      <c r="R809" s="436"/>
      <c r="S809" s="436"/>
      <c r="T809" s="436"/>
      <c r="U809" s="503"/>
      <c r="V809" s="503"/>
      <c r="W809" s="503"/>
      <c r="X809" s="506"/>
      <c r="Y809" s="506"/>
      <c r="Z809" s="506"/>
      <c r="AA809" s="436"/>
      <c r="AB809" s="436"/>
      <c r="AC809" s="436"/>
      <c r="AD809" s="436"/>
      <c r="AE809" s="508"/>
      <c r="AF809" s="508"/>
      <c r="AG809" s="508"/>
      <c r="AH809" s="508"/>
      <c r="AI809" s="436"/>
      <c r="AJ809" s="436"/>
      <c r="AK809" s="436"/>
      <c r="AL809" s="436"/>
      <c r="AM809" s="436"/>
      <c r="AN809" s="436"/>
      <c r="AO809" s="436"/>
      <c r="AP809" s="436"/>
      <c r="AQ809" s="436"/>
      <c r="AR809" s="436"/>
      <c r="AS809" s="436"/>
      <c r="AT809" s="436"/>
      <c r="AU809" s="436"/>
      <c r="AV809" s="436"/>
      <c r="AW809" s="436"/>
      <c r="AX809" s="436"/>
      <c r="AY809" s="436"/>
      <c r="AZ809" s="436"/>
      <c r="BA809" s="436"/>
      <c r="BB809" s="436"/>
      <c r="BC809" s="436"/>
      <c r="BD809" s="436"/>
      <c r="BE809" s="436"/>
      <c r="BF809" s="436"/>
      <c r="BG809" s="436"/>
      <c r="BH809" s="436"/>
      <c r="BI809" s="436"/>
      <c r="BJ809" s="436"/>
      <c r="BK809" s="436"/>
      <c r="BL809" s="436"/>
      <c r="BM809" s="436"/>
      <c r="BN809" s="436"/>
      <c r="BO809" s="339"/>
      <c r="BP809" s="436"/>
      <c r="BQ809" s="436"/>
      <c r="BR809" s="436"/>
      <c r="BS809" s="436"/>
      <c r="BT809" s="436"/>
      <c r="BU809" s="436"/>
      <c r="BV809" s="436"/>
      <c r="BW809" s="436"/>
      <c r="BX809" s="1"/>
      <c r="BY809" s="1"/>
      <c r="BZ809" s="1"/>
      <c r="CA809" s="1"/>
      <c r="CB809" s="1"/>
      <c r="CC809" s="1"/>
      <c r="CD809" s="1"/>
      <c r="CE809" s="1"/>
      <c r="CF809" s="1"/>
      <c r="CG809" s="1"/>
    </row>
    <row r="810" spans="1:85" ht="15.75" customHeight="1">
      <c r="A810" s="500"/>
      <c r="B810" s="216"/>
      <c r="C810" s="527"/>
      <c r="D810" s="216"/>
      <c r="E810" s="503"/>
      <c r="F810" s="436"/>
      <c r="G810" s="436"/>
      <c r="H810" s="503"/>
      <c r="I810" s="504"/>
      <c r="J810" s="504"/>
      <c r="K810" s="503"/>
      <c r="L810" s="505"/>
      <c r="M810" s="436"/>
      <c r="N810" s="503"/>
      <c r="O810" s="436"/>
      <c r="P810" s="436"/>
      <c r="Q810" s="436"/>
      <c r="R810" s="436"/>
      <c r="S810" s="436"/>
      <c r="T810" s="436"/>
      <c r="U810" s="503"/>
      <c r="V810" s="503"/>
      <c r="W810" s="503"/>
      <c r="X810" s="506"/>
      <c r="Y810" s="506"/>
      <c r="Z810" s="506"/>
      <c r="AA810" s="436"/>
      <c r="AB810" s="436"/>
      <c r="AC810" s="436"/>
      <c r="AD810" s="436"/>
      <c r="AE810" s="508"/>
      <c r="AF810" s="508"/>
      <c r="AG810" s="508"/>
      <c r="AH810" s="508"/>
      <c r="AI810" s="436"/>
      <c r="AJ810" s="436"/>
      <c r="AK810" s="436"/>
      <c r="AL810" s="436"/>
      <c r="AM810" s="436"/>
      <c r="AN810" s="436"/>
      <c r="AO810" s="436"/>
      <c r="AP810" s="436"/>
      <c r="AQ810" s="436"/>
      <c r="AR810" s="436"/>
      <c r="AS810" s="436"/>
      <c r="AT810" s="436"/>
      <c r="AU810" s="436"/>
      <c r="AV810" s="436"/>
      <c r="AW810" s="436"/>
      <c r="AX810" s="436"/>
      <c r="AY810" s="436"/>
      <c r="AZ810" s="436"/>
      <c r="BA810" s="436"/>
      <c r="BB810" s="436"/>
      <c r="BC810" s="436"/>
      <c r="BD810" s="436"/>
      <c r="BE810" s="436"/>
      <c r="BF810" s="436"/>
      <c r="BG810" s="436"/>
      <c r="BH810" s="436"/>
      <c r="BI810" s="436"/>
      <c r="BJ810" s="436"/>
      <c r="BK810" s="436"/>
      <c r="BL810" s="436"/>
      <c r="BM810" s="436"/>
      <c r="BN810" s="436"/>
      <c r="BO810" s="339"/>
      <c r="BP810" s="436"/>
      <c r="BQ810" s="436"/>
      <c r="BR810" s="436"/>
      <c r="BS810" s="436"/>
      <c r="BT810" s="436"/>
      <c r="BU810" s="436"/>
      <c r="BV810" s="436"/>
      <c r="BW810" s="436"/>
      <c r="BX810" s="1"/>
      <c r="BY810" s="1"/>
      <c r="BZ810" s="1"/>
      <c r="CA810" s="1"/>
      <c r="CB810" s="1"/>
      <c r="CC810" s="1"/>
      <c r="CD810" s="1"/>
      <c r="CE810" s="1"/>
      <c r="CF810" s="1"/>
      <c r="CG810" s="1"/>
    </row>
    <row r="811" spans="1:85" ht="15.75" customHeight="1">
      <c r="A811" s="500"/>
      <c r="B811" s="216"/>
      <c r="C811" s="527"/>
      <c r="D811" s="216"/>
      <c r="E811" s="503"/>
      <c r="F811" s="436"/>
      <c r="G811" s="436"/>
      <c r="H811" s="503"/>
      <c r="I811" s="504"/>
      <c r="J811" s="504"/>
      <c r="K811" s="503"/>
      <c r="L811" s="505"/>
      <c r="M811" s="436"/>
      <c r="N811" s="503"/>
      <c r="O811" s="436"/>
      <c r="P811" s="436"/>
      <c r="Q811" s="436"/>
      <c r="R811" s="436"/>
      <c r="S811" s="436"/>
      <c r="T811" s="436"/>
      <c r="U811" s="503"/>
      <c r="V811" s="503"/>
      <c r="W811" s="503"/>
      <c r="X811" s="506"/>
      <c r="Y811" s="506"/>
      <c r="Z811" s="506"/>
      <c r="AA811" s="436"/>
      <c r="AB811" s="436"/>
      <c r="AC811" s="436"/>
      <c r="AD811" s="436"/>
      <c r="AE811" s="508"/>
      <c r="AF811" s="508"/>
      <c r="AG811" s="508"/>
      <c r="AH811" s="508"/>
      <c r="AI811" s="436"/>
      <c r="AJ811" s="436"/>
      <c r="AK811" s="436"/>
      <c r="AL811" s="436"/>
      <c r="AM811" s="436"/>
      <c r="AN811" s="436"/>
      <c r="AO811" s="436"/>
      <c r="AP811" s="436"/>
      <c r="AQ811" s="436"/>
      <c r="AR811" s="436"/>
      <c r="AS811" s="436"/>
      <c r="AT811" s="436"/>
      <c r="AU811" s="436"/>
      <c r="AV811" s="436"/>
      <c r="AW811" s="436"/>
      <c r="AX811" s="436"/>
      <c r="AY811" s="436"/>
      <c r="AZ811" s="436"/>
      <c r="BA811" s="436"/>
      <c r="BB811" s="436"/>
      <c r="BC811" s="436"/>
      <c r="BD811" s="436"/>
      <c r="BE811" s="436"/>
      <c r="BF811" s="436"/>
      <c r="BG811" s="436"/>
      <c r="BH811" s="436"/>
      <c r="BI811" s="436"/>
      <c r="BJ811" s="436"/>
      <c r="BK811" s="436"/>
      <c r="BL811" s="436"/>
      <c r="BM811" s="436"/>
      <c r="BN811" s="436"/>
      <c r="BO811" s="339"/>
      <c r="BP811" s="436"/>
      <c r="BQ811" s="436"/>
      <c r="BR811" s="436"/>
      <c r="BS811" s="436"/>
      <c r="BT811" s="436"/>
      <c r="BU811" s="436"/>
      <c r="BV811" s="436"/>
      <c r="BW811" s="436"/>
      <c r="BX811" s="1"/>
      <c r="BY811" s="1"/>
      <c r="BZ811" s="1"/>
      <c r="CA811" s="1"/>
      <c r="CB811" s="1"/>
      <c r="CC811" s="1"/>
      <c r="CD811" s="1"/>
      <c r="CE811" s="1"/>
      <c r="CF811" s="1"/>
      <c r="CG811" s="1"/>
    </row>
    <row r="812" spans="1:85" ht="15.75" customHeight="1">
      <c r="A812" s="500"/>
      <c r="B812" s="216"/>
      <c r="C812" s="527"/>
      <c r="D812" s="216"/>
      <c r="E812" s="503"/>
      <c r="F812" s="436"/>
      <c r="G812" s="436"/>
      <c r="H812" s="503"/>
      <c r="I812" s="504"/>
      <c r="J812" s="504"/>
      <c r="K812" s="503"/>
      <c r="L812" s="505"/>
      <c r="M812" s="436"/>
      <c r="N812" s="503"/>
      <c r="O812" s="436"/>
      <c r="P812" s="436"/>
      <c r="Q812" s="436"/>
      <c r="R812" s="436"/>
      <c r="S812" s="436"/>
      <c r="T812" s="436"/>
      <c r="U812" s="503"/>
      <c r="V812" s="503"/>
      <c r="W812" s="503"/>
      <c r="X812" s="506"/>
      <c r="Y812" s="506"/>
      <c r="Z812" s="506"/>
      <c r="AA812" s="436"/>
      <c r="AB812" s="436"/>
      <c r="AC812" s="436"/>
      <c r="AD812" s="436"/>
      <c r="AE812" s="508"/>
      <c r="AF812" s="508"/>
      <c r="AG812" s="508"/>
      <c r="AH812" s="508"/>
      <c r="AI812" s="436"/>
      <c r="AJ812" s="436"/>
      <c r="AK812" s="436"/>
      <c r="AL812" s="436"/>
      <c r="AM812" s="436"/>
      <c r="AN812" s="436"/>
      <c r="AO812" s="436"/>
      <c r="AP812" s="436"/>
      <c r="AQ812" s="436"/>
      <c r="AR812" s="436"/>
      <c r="AS812" s="436"/>
      <c r="AT812" s="436"/>
      <c r="AU812" s="436"/>
      <c r="AV812" s="436"/>
      <c r="AW812" s="436"/>
      <c r="AX812" s="436"/>
      <c r="AY812" s="436"/>
      <c r="AZ812" s="436"/>
      <c r="BA812" s="436"/>
      <c r="BB812" s="436"/>
      <c r="BC812" s="436"/>
      <c r="BD812" s="436"/>
      <c r="BE812" s="436"/>
      <c r="BF812" s="436"/>
      <c r="BG812" s="436"/>
      <c r="BH812" s="436"/>
      <c r="BI812" s="436"/>
      <c r="BJ812" s="436"/>
      <c r="BK812" s="436"/>
      <c r="BL812" s="436"/>
      <c r="BM812" s="436"/>
      <c r="BN812" s="436"/>
      <c r="BO812" s="339"/>
      <c r="BP812" s="436"/>
      <c r="BQ812" s="436"/>
      <c r="BR812" s="436"/>
      <c r="BS812" s="436"/>
      <c r="BT812" s="436"/>
      <c r="BU812" s="436"/>
      <c r="BV812" s="436"/>
      <c r="BW812" s="436"/>
      <c r="BX812" s="1"/>
      <c r="BY812" s="1"/>
      <c r="BZ812" s="1"/>
      <c r="CA812" s="1"/>
      <c r="CB812" s="1"/>
      <c r="CC812" s="1"/>
      <c r="CD812" s="1"/>
      <c r="CE812" s="1"/>
      <c r="CF812" s="1"/>
      <c r="CG812" s="1"/>
    </row>
    <row r="813" spans="1:85" ht="15.75" customHeight="1">
      <c r="A813" s="500"/>
      <c r="B813" s="216"/>
      <c r="C813" s="527"/>
      <c r="D813" s="216"/>
      <c r="E813" s="503"/>
      <c r="F813" s="436"/>
      <c r="G813" s="436"/>
      <c r="H813" s="503"/>
      <c r="I813" s="504"/>
      <c r="J813" s="504"/>
      <c r="K813" s="503"/>
      <c r="L813" s="505"/>
      <c r="M813" s="436"/>
      <c r="N813" s="503"/>
      <c r="O813" s="436"/>
      <c r="P813" s="436"/>
      <c r="Q813" s="436"/>
      <c r="R813" s="436"/>
      <c r="S813" s="436"/>
      <c r="T813" s="436"/>
      <c r="U813" s="503"/>
      <c r="V813" s="503"/>
      <c r="W813" s="503"/>
      <c r="X813" s="506"/>
      <c r="Y813" s="506"/>
      <c r="Z813" s="506"/>
      <c r="AA813" s="436"/>
      <c r="AB813" s="436"/>
      <c r="AC813" s="436"/>
      <c r="AD813" s="436"/>
      <c r="AE813" s="508"/>
      <c r="AF813" s="508"/>
      <c r="AG813" s="508"/>
      <c r="AH813" s="508"/>
      <c r="AI813" s="436"/>
      <c r="AJ813" s="436"/>
      <c r="AK813" s="436"/>
      <c r="AL813" s="436"/>
      <c r="AM813" s="436"/>
      <c r="AN813" s="436"/>
      <c r="AO813" s="436"/>
      <c r="AP813" s="436"/>
      <c r="AQ813" s="436"/>
      <c r="AR813" s="436"/>
      <c r="AS813" s="436"/>
      <c r="AT813" s="436"/>
      <c r="AU813" s="436"/>
      <c r="AV813" s="436"/>
      <c r="AW813" s="436"/>
      <c r="AX813" s="436"/>
      <c r="AY813" s="436"/>
      <c r="AZ813" s="436"/>
      <c r="BA813" s="436"/>
      <c r="BB813" s="436"/>
      <c r="BC813" s="436"/>
      <c r="BD813" s="436"/>
      <c r="BE813" s="436"/>
      <c r="BF813" s="436"/>
      <c r="BG813" s="436"/>
      <c r="BH813" s="436"/>
      <c r="BI813" s="436"/>
      <c r="BJ813" s="436"/>
      <c r="BK813" s="436"/>
      <c r="BL813" s="436"/>
      <c r="BM813" s="436"/>
      <c r="BN813" s="436"/>
      <c r="BO813" s="339"/>
      <c r="BP813" s="436"/>
      <c r="BQ813" s="436"/>
      <c r="BR813" s="436"/>
      <c r="BS813" s="436"/>
      <c r="BT813" s="436"/>
      <c r="BU813" s="436"/>
      <c r="BV813" s="436"/>
      <c r="BW813" s="436"/>
      <c r="BX813" s="1"/>
      <c r="BY813" s="1"/>
      <c r="BZ813" s="1"/>
      <c r="CA813" s="1"/>
      <c r="CB813" s="1"/>
      <c r="CC813" s="1"/>
      <c r="CD813" s="1"/>
      <c r="CE813" s="1"/>
      <c r="CF813" s="1"/>
      <c r="CG813" s="1"/>
    </row>
    <row r="814" spans="1:85" ht="15.75" customHeight="1">
      <c r="A814" s="500"/>
      <c r="B814" s="216"/>
      <c r="C814" s="527"/>
      <c r="D814" s="216"/>
      <c r="E814" s="503"/>
      <c r="F814" s="436"/>
      <c r="G814" s="436"/>
      <c r="H814" s="503"/>
      <c r="I814" s="504"/>
      <c r="J814" s="504"/>
      <c r="K814" s="503"/>
      <c r="L814" s="505"/>
      <c r="M814" s="436"/>
      <c r="N814" s="503"/>
      <c r="O814" s="436"/>
      <c r="P814" s="436"/>
      <c r="Q814" s="436"/>
      <c r="R814" s="436"/>
      <c r="S814" s="436"/>
      <c r="T814" s="436"/>
      <c r="U814" s="503"/>
      <c r="V814" s="503"/>
      <c r="W814" s="503"/>
      <c r="X814" s="506"/>
      <c r="Y814" s="506"/>
      <c r="Z814" s="506"/>
      <c r="AA814" s="436"/>
      <c r="AB814" s="436"/>
      <c r="AC814" s="436"/>
      <c r="AD814" s="436"/>
      <c r="AE814" s="508"/>
      <c r="AF814" s="508"/>
      <c r="AG814" s="508"/>
      <c r="AH814" s="508"/>
      <c r="AI814" s="436"/>
      <c r="AJ814" s="436"/>
      <c r="AK814" s="436"/>
      <c r="AL814" s="436"/>
      <c r="AM814" s="436"/>
      <c r="AN814" s="436"/>
      <c r="AO814" s="436"/>
      <c r="AP814" s="436"/>
      <c r="AQ814" s="436"/>
      <c r="AR814" s="436"/>
      <c r="AS814" s="436"/>
      <c r="AT814" s="436"/>
      <c r="AU814" s="436"/>
      <c r="AV814" s="436"/>
      <c r="AW814" s="436"/>
      <c r="AX814" s="436"/>
      <c r="AY814" s="436"/>
      <c r="AZ814" s="436"/>
      <c r="BA814" s="436"/>
      <c r="BB814" s="436"/>
      <c r="BC814" s="436"/>
      <c r="BD814" s="436"/>
      <c r="BE814" s="436"/>
      <c r="BF814" s="436"/>
      <c r="BG814" s="436"/>
      <c r="BH814" s="436"/>
      <c r="BI814" s="436"/>
      <c r="BJ814" s="436"/>
      <c r="BK814" s="436"/>
      <c r="BL814" s="436"/>
      <c r="BM814" s="436"/>
      <c r="BN814" s="436"/>
      <c r="BO814" s="339"/>
      <c r="BP814" s="436"/>
      <c r="BQ814" s="436"/>
      <c r="BR814" s="436"/>
      <c r="BS814" s="436"/>
      <c r="BT814" s="436"/>
      <c r="BU814" s="436"/>
      <c r="BV814" s="436"/>
      <c r="BW814" s="436"/>
      <c r="BX814" s="1"/>
      <c r="BY814" s="1"/>
      <c r="BZ814" s="1"/>
      <c r="CA814" s="1"/>
      <c r="CB814" s="1"/>
      <c r="CC814" s="1"/>
      <c r="CD814" s="1"/>
      <c r="CE814" s="1"/>
      <c r="CF814" s="1"/>
      <c r="CG814" s="1"/>
    </row>
    <row r="815" spans="1:85" ht="15.75" customHeight="1">
      <c r="A815" s="500"/>
      <c r="B815" s="216"/>
      <c r="C815" s="527"/>
      <c r="D815" s="216"/>
      <c r="E815" s="503"/>
      <c r="F815" s="436"/>
      <c r="G815" s="436"/>
      <c r="H815" s="503"/>
      <c r="I815" s="504"/>
      <c r="J815" s="504"/>
      <c r="K815" s="503"/>
      <c r="L815" s="505"/>
      <c r="M815" s="436"/>
      <c r="N815" s="503"/>
      <c r="O815" s="436"/>
      <c r="P815" s="436"/>
      <c r="Q815" s="436"/>
      <c r="R815" s="436"/>
      <c r="S815" s="436"/>
      <c r="T815" s="436"/>
      <c r="U815" s="503"/>
      <c r="V815" s="503"/>
      <c r="W815" s="503"/>
      <c r="X815" s="506"/>
      <c r="Y815" s="506"/>
      <c r="Z815" s="506"/>
      <c r="AA815" s="436"/>
      <c r="AB815" s="436"/>
      <c r="AC815" s="436"/>
      <c r="AD815" s="436"/>
      <c r="AE815" s="508"/>
      <c r="AF815" s="508"/>
      <c r="AG815" s="508"/>
      <c r="AH815" s="508"/>
      <c r="AI815" s="436"/>
      <c r="AJ815" s="436"/>
      <c r="AK815" s="436"/>
      <c r="AL815" s="436"/>
      <c r="AM815" s="436"/>
      <c r="AN815" s="436"/>
      <c r="AO815" s="436"/>
      <c r="AP815" s="436"/>
      <c r="AQ815" s="436"/>
      <c r="AR815" s="436"/>
      <c r="AS815" s="436"/>
      <c r="AT815" s="436"/>
      <c r="AU815" s="436"/>
      <c r="AV815" s="436"/>
      <c r="AW815" s="436"/>
      <c r="AX815" s="436"/>
      <c r="AY815" s="436"/>
      <c r="AZ815" s="436"/>
      <c r="BA815" s="436"/>
      <c r="BB815" s="436"/>
      <c r="BC815" s="436"/>
      <c r="BD815" s="436"/>
      <c r="BE815" s="436"/>
      <c r="BF815" s="436"/>
      <c r="BG815" s="436"/>
      <c r="BH815" s="436"/>
      <c r="BI815" s="436"/>
      <c r="BJ815" s="436"/>
      <c r="BK815" s="436"/>
      <c r="BL815" s="436"/>
      <c r="BM815" s="436"/>
      <c r="BN815" s="436"/>
      <c r="BO815" s="339"/>
      <c r="BP815" s="436"/>
      <c r="BQ815" s="436"/>
      <c r="BR815" s="436"/>
      <c r="BS815" s="436"/>
      <c r="BT815" s="436"/>
      <c r="BU815" s="436"/>
      <c r="BV815" s="436"/>
      <c r="BW815" s="436"/>
      <c r="BX815" s="1"/>
      <c r="BY815" s="1"/>
      <c r="BZ815" s="1"/>
      <c r="CA815" s="1"/>
      <c r="CB815" s="1"/>
      <c r="CC815" s="1"/>
      <c r="CD815" s="1"/>
      <c r="CE815" s="1"/>
      <c r="CF815" s="1"/>
      <c r="CG815" s="1"/>
    </row>
    <row r="816" spans="1:85" ht="15.75" customHeight="1">
      <c r="A816" s="500"/>
      <c r="B816" s="216"/>
      <c r="C816" s="527"/>
      <c r="D816" s="216"/>
      <c r="E816" s="503"/>
      <c r="F816" s="436"/>
      <c r="G816" s="436"/>
      <c r="H816" s="503"/>
      <c r="I816" s="504"/>
      <c r="J816" s="504"/>
      <c r="K816" s="503"/>
      <c r="L816" s="505"/>
      <c r="M816" s="436"/>
      <c r="N816" s="503"/>
      <c r="O816" s="436"/>
      <c r="P816" s="436"/>
      <c r="Q816" s="436"/>
      <c r="R816" s="436"/>
      <c r="S816" s="436"/>
      <c r="T816" s="436"/>
      <c r="U816" s="503"/>
      <c r="V816" s="503"/>
      <c r="W816" s="503"/>
      <c r="X816" s="506"/>
      <c r="Y816" s="506"/>
      <c r="Z816" s="506"/>
      <c r="AA816" s="436"/>
      <c r="AB816" s="436"/>
      <c r="AC816" s="436"/>
      <c r="AD816" s="436"/>
      <c r="AE816" s="508"/>
      <c r="AF816" s="508"/>
      <c r="AG816" s="508"/>
      <c r="AH816" s="508"/>
      <c r="AI816" s="436"/>
      <c r="AJ816" s="436"/>
      <c r="AK816" s="436"/>
      <c r="AL816" s="436"/>
      <c r="AM816" s="436"/>
      <c r="AN816" s="436"/>
      <c r="AO816" s="436"/>
      <c r="AP816" s="436"/>
      <c r="AQ816" s="436"/>
      <c r="AR816" s="436"/>
      <c r="AS816" s="436"/>
      <c r="AT816" s="436"/>
      <c r="AU816" s="436"/>
      <c r="AV816" s="436"/>
      <c r="AW816" s="436"/>
      <c r="AX816" s="436"/>
      <c r="AY816" s="436"/>
      <c r="AZ816" s="436"/>
      <c r="BA816" s="436"/>
      <c r="BB816" s="436"/>
      <c r="BC816" s="436"/>
      <c r="BD816" s="436"/>
      <c r="BE816" s="436"/>
      <c r="BF816" s="436"/>
      <c r="BG816" s="436"/>
      <c r="BH816" s="436"/>
      <c r="BI816" s="436"/>
      <c r="BJ816" s="436"/>
      <c r="BK816" s="436"/>
      <c r="BL816" s="436"/>
      <c r="BM816" s="436"/>
      <c r="BN816" s="436"/>
      <c r="BO816" s="339"/>
      <c r="BP816" s="436"/>
      <c r="BQ816" s="436"/>
      <c r="BR816" s="436"/>
      <c r="BS816" s="436"/>
      <c r="BT816" s="436"/>
      <c r="BU816" s="436"/>
      <c r="BV816" s="436"/>
      <c r="BW816" s="436"/>
      <c r="BX816" s="1"/>
      <c r="BY816" s="1"/>
      <c r="BZ816" s="1"/>
      <c r="CA816" s="1"/>
      <c r="CB816" s="1"/>
      <c r="CC816" s="1"/>
      <c r="CD816" s="1"/>
      <c r="CE816" s="1"/>
      <c r="CF816" s="1"/>
      <c r="CG816" s="1"/>
    </row>
    <row r="817" spans="1:85" ht="15.75" customHeight="1">
      <c r="A817" s="500"/>
      <c r="B817" s="216"/>
      <c r="C817" s="527"/>
      <c r="D817" s="216"/>
      <c r="E817" s="503"/>
      <c r="F817" s="436"/>
      <c r="G817" s="436"/>
      <c r="H817" s="503"/>
      <c r="I817" s="504"/>
      <c r="J817" s="504"/>
      <c r="K817" s="503"/>
      <c r="L817" s="505"/>
      <c r="M817" s="436"/>
      <c r="N817" s="503"/>
      <c r="O817" s="436"/>
      <c r="P817" s="436"/>
      <c r="Q817" s="436"/>
      <c r="R817" s="436"/>
      <c r="S817" s="436"/>
      <c r="T817" s="436"/>
      <c r="U817" s="503"/>
      <c r="V817" s="503"/>
      <c r="W817" s="503"/>
      <c r="X817" s="506"/>
      <c r="Y817" s="506"/>
      <c r="Z817" s="506"/>
      <c r="AA817" s="436"/>
      <c r="AB817" s="436"/>
      <c r="AC817" s="436"/>
      <c r="AD817" s="436"/>
      <c r="AE817" s="508"/>
      <c r="AF817" s="508"/>
      <c r="AG817" s="508"/>
      <c r="AH817" s="508"/>
      <c r="AI817" s="436"/>
      <c r="AJ817" s="436"/>
      <c r="AK817" s="436"/>
      <c r="AL817" s="436"/>
      <c r="AM817" s="436"/>
      <c r="AN817" s="436"/>
      <c r="AO817" s="436"/>
      <c r="AP817" s="436"/>
      <c r="AQ817" s="436"/>
      <c r="AR817" s="436"/>
      <c r="AS817" s="436"/>
      <c r="AT817" s="436"/>
      <c r="AU817" s="436"/>
      <c r="AV817" s="436"/>
      <c r="AW817" s="436"/>
      <c r="AX817" s="436"/>
      <c r="AY817" s="436"/>
      <c r="AZ817" s="436"/>
      <c r="BA817" s="436"/>
      <c r="BB817" s="436"/>
      <c r="BC817" s="436"/>
      <c r="BD817" s="436"/>
      <c r="BE817" s="436"/>
      <c r="BF817" s="436"/>
      <c r="BG817" s="436"/>
      <c r="BH817" s="436"/>
      <c r="BI817" s="436"/>
      <c r="BJ817" s="436"/>
      <c r="BK817" s="436"/>
      <c r="BL817" s="436"/>
      <c r="BM817" s="436"/>
      <c r="BN817" s="436"/>
      <c r="BO817" s="339"/>
      <c r="BP817" s="436"/>
      <c r="BQ817" s="436"/>
      <c r="BR817" s="436"/>
      <c r="BS817" s="436"/>
      <c r="BT817" s="436"/>
      <c r="BU817" s="436"/>
      <c r="BV817" s="436"/>
      <c r="BW817" s="436"/>
      <c r="BX817" s="1"/>
      <c r="BY817" s="1"/>
      <c r="BZ817" s="1"/>
      <c r="CA817" s="1"/>
      <c r="CB817" s="1"/>
      <c r="CC817" s="1"/>
      <c r="CD817" s="1"/>
      <c r="CE817" s="1"/>
      <c r="CF817" s="1"/>
      <c r="CG817" s="1"/>
    </row>
    <row r="818" spans="1:85" ht="15.75" customHeight="1">
      <c r="A818" s="500"/>
      <c r="B818" s="216"/>
      <c r="C818" s="527"/>
      <c r="D818" s="216"/>
      <c r="E818" s="503"/>
      <c r="F818" s="436"/>
      <c r="G818" s="436"/>
      <c r="H818" s="503"/>
      <c r="I818" s="504"/>
      <c r="J818" s="504"/>
      <c r="K818" s="503"/>
      <c r="L818" s="505"/>
      <c r="M818" s="436"/>
      <c r="N818" s="503"/>
      <c r="O818" s="436"/>
      <c r="P818" s="436"/>
      <c r="Q818" s="436"/>
      <c r="R818" s="436"/>
      <c r="S818" s="436"/>
      <c r="T818" s="436"/>
      <c r="U818" s="503"/>
      <c r="V818" s="503"/>
      <c r="W818" s="503"/>
      <c r="X818" s="506"/>
      <c r="Y818" s="506"/>
      <c r="Z818" s="506"/>
      <c r="AA818" s="436"/>
      <c r="AB818" s="436"/>
      <c r="AC818" s="436"/>
      <c r="AD818" s="436"/>
      <c r="AE818" s="508"/>
      <c r="AF818" s="508"/>
      <c r="AG818" s="508"/>
      <c r="AH818" s="508"/>
      <c r="AI818" s="436"/>
      <c r="AJ818" s="436"/>
      <c r="AK818" s="436"/>
      <c r="AL818" s="436"/>
      <c r="AM818" s="436"/>
      <c r="AN818" s="436"/>
      <c r="AO818" s="436"/>
      <c r="AP818" s="436"/>
      <c r="AQ818" s="436"/>
      <c r="AR818" s="436"/>
      <c r="AS818" s="436"/>
      <c r="AT818" s="436"/>
      <c r="AU818" s="436"/>
      <c r="AV818" s="436"/>
      <c r="AW818" s="436"/>
      <c r="AX818" s="436"/>
      <c r="AY818" s="436"/>
      <c r="AZ818" s="436"/>
      <c r="BA818" s="436"/>
      <c r="BB818" s="436"/>
      <c r="BC818" s="436"/>
      <c r="BD818" s="436"/>
      <c r="BE818" s="436"/>
      <c r="BF818" s="436"/>
      <c r="BG818" s="436"/>
      <c r="BH818" s="436"/>
      <c r="BI818" s="436"/>
      <c r="BJ818" s="436"/>
      <c r="BK818" s="436"/>
      <c r="BL818" s="436"/>
      <c r="BM818" s="436"/>
      <c r="BN818" s="436"/>
      <c r="BO818" s="339"/>
      <c r="BP818" s="436"/>
      <c r="BQ818" s="436"/>
      <c r="BR818" s="436"/>
      <c r="BS818" s="436"/>
      <c r="BT818" s="436"/>
      <c r="BU818" s="436"/>
      <c r="BV818" s="436"/>
      <c r="BW818" s="436"/>
      <c r="BX818" s="1"/>
      <c r="BY818" s="1"/>
      <c r="BZ818" s="1"/>
      <c r="CA818" s="1"/>
      <c r="CB818" s="1"/>
      <c r="CC818" s="1"/>
      <c r="CD818" s="1"/>
      <c r="CE818" s="1"/>
      <c r="CF818" s="1"/>
      <c r="CG818" s="1"/>
    </row>
    <row r="819" spans="1:85" ht="15.75" customHeight="1">
      <c r="A819" s="500"/>
      <c r="B819" s="216"/>
      <c r="C819" s="527"/>
      <c r="D819" s="216"/>
      <c r="E819" s="503"/>
      <c r="F819" s="436"/>
      <c r="G819" s="436"/>
      <c r="H819" s="503"/>
      <c r="I819" s="504"/>
      <c r="J819" s="504"/>
      <c r="K819" s="503"/>
      <c r="L819" s="505"/>
      <c r="M819" s="436"/>
      <c r="N819" s="503"/>
      <c r="O819" s="436"/>
      <c r="P819" s="436"/>
      <c r="Q819" s="436"/>
      <c r="R819" s="436"/>
      <c r="S819" s="436"/>
      <c r="T819" s="436"/>
      <c r="U819" s="503"/>
      <c r="V819" s="503"/>
      <c r="W819" s="503"/>
      <c r="X819" s="506"/>
      <c r="Y819" s="506"/>
      <c r="Z819" s="506"/>
      <c r="AA819" s="436"/>
      <c r="AB819" s="436"/>
      <c r="AC819" s="436"/>
      <c r="AD819" s="436"/>
      <c r="AE819" s="508"/>
      <c r="AF819" s="508"/>
      <c r="AG819" s="508"/>
      <c r="AH819" s="508"/>
      <c r="AI819" s="436"/>
      <c r="AJ819" s="436"/>
      <c r="AK819" s="436"/>
      <c r="AL819" s="436"/>
      <c r="AM819" s="436"/>
      <c r="AN819" s="436"/>
      <c r="AO819" s="436"/>
      <c r="AP819" s="436"/>
      <c r="AQ819" s="436"/>
      <c r="AR819" s="436"/>
      <c r="AS819" s="436"/>
      <c r="AT819" s="436"/>
      <c r="AU819" s="436"/>
      <c r="AV819" s="436"/>
      <c r="AW819" s="436"/>
      <c r="AX819" s="436"/>
      <c r="AY819" s="436"/>
      <c r="AZ819" s="436"/>
      <c r="BA819" s="436"/>
      <c r="BB819" s="436"/>
      <c r="BC819" s="436"/>
      <c r="BD819" s="436"/>
      <c r="BE819" s="436"/>
      <c r="BF819" s="436"/>
      <c r="BG819" s="436"/>
      <c r="BH819" s="436"/>
      <c r="BI819" s="436"/>
      <c r="BJ819" s="436"/>
      <c r="BK819" s="436"/>
      <c r="BL819" s="436"/>
      <c r="BM819" s="436"/>
      <c r="BN819" s="436"/>
      <c r="BO819" s="339"/>
      <c r="BP819" s="436"/>
      <c r="BQ819" s="436"/>
      <c r="BR819" s="436"/>
      <c r="BS819" s="436"/>
      <c r="BT819" s="436"/>
      <c r="BU819" s="436"/>
      <c r="BV819" s="436"/>
      <c r="BW819" s="436"/>
      <c r="BX819" s="1"/>
      <c r="BY819" s="1"/>
      <c r="BZ819" s="1"/>
      <c r="CA819" s="1"/>
      <c r="CB819" s="1"/>
      <c r="CC819" s="1"/>
      <c r="CD819" s="1"/>
      <c r="CE819" s="1"/>
      <c r="CF819" s="1"/>
      <c r="CG819" s="1"/>
    </row>
    <row r="820" spans="1:85" ht="15.75" customHeight="1">
      <c r="A820" s="500"/>
      <c r="B820" s="216"/>
      <c r="C820" s="527"/>
      <c r="D820" s="216"/>
      <c r="E820" s="503"/>
      <c r="F820" s="436"/>
      <c r="G820" s="436"/>
      <c r="H820" s="503"/>
      <c r="I820" s="504"/>
      <c r="J820" s="504"/>
      <c r="K820" s="503"/>
      <c r="L820" s="505"/>
      <c r="M820" s="436"/>
      <c r="N820" s="503"/>
      <c r="O820" s="436"/>
      <c r="P820" s="436"/>
      <c r="Q820" s="436"/>
      <c r="R820" s="436"/>
      <c r="S820" s="436"/>
      <c r="T820" s="436"/>
      <c r="U820" s="503"/>
      <c r="V820" s="503"/>
      <c r="W820" s="503"/>
      <c r="X820" s="506"/>
      <c r="Y820" s="506"/>
      <c r="Z820" s="506"/>
      <c r="AA820" s="436"/>
      <c r="AB820" s="436"/>
      <c r="AC820" s="436"/>
      <c r="AD820" s="436"/>
      <c r="AE820" s="508"/>
      <c r="AF820" s="508"/>
      <c r="AG820" s="508"/>
      <c r="AH820" s="508"/>
      <c r="AI820" s="436"/>
      <c r="AJ820" s="436"/>
      <c r="AK820" s="436"/>
      <c r="AL820" s="436"/>
      <c r="AM820" s="436"/>
      <c r="AN820" s="436"/>
      <c r="AO820" s="436"/>
      <c r="AP820" s="436"/>
      <c r="AQ820" s="436"/>
      <c r="AR820" s="436"/>
      <c r="AS820" s="436"/>
      <c r="AT820" s="436"/>
      <c r="AU820" s="436"/>
      <c r="AV820" s="436"/>
      <c r="AW820" s="436"/>
      <c r="AX820" s="436"/>
      <c r="AY820" s="436"/>
      <c r="AZ820" s="436"/>
      <c r="BA820" s="436"/>
      <c r="BB820" s="436"/>
      <c r="BC820" s="436"/>
      <c r="BD820" s="436"/>
      <c r="BE820" s="436"/>
      <c r="BF820" s="436"/>
      <c r="BG820" s="436"/>
      <c r="BH820" s="436"/>
      <c r="BI820" s="436"/>
      <c r="BJ820" s="436"/>
      <c r="BK820" s="436"/>
      <c r="BL820" s="436"/>
      <c r="BM820" s="436"/>
      <c r="BN820" s="436"/>
      <c r="BO820" s="339"/>
      <c r="BP820" s="436"/>
      <c r="BQ820" s="436"/>
      <c r="BR820" s="436"/>
      <c r="BS820" s="436"/>
      <c r="BT820" s="436"/>
      <c r="BU820" s="436"/>
      <c r="BV820" s="436"/>
      <c r="BW820" s="436"/>
      <c r="BX820" s="1"/>
      <c r="BY820" s="1"/>
      <c r="BZ820" s="1"/>
      <c r="CA820" s="1"/>
      <c r="CB820" s="1"/>
      <c r="CC820" s="1"/>
      <c r="CD820" s="1"/>
      <c r="CE820" s="1"/>
      <c r="CF820" s="1"/>
      <c r="CG820" s="1"/>
    </row>
    <row r="821" spans="1:85" ht="15.75" customHeight="1">
      <c r="A821" s="500"/>
      <c r="B821" s="216"/>
      <c r="C821" s="527"/>
      <c r="D821" s="216"/>
      <c r="E821" s="503"/>
      <c r="F821" s="436"/>
      <c r="G821" s="436"/>
      <c r="H821" s="503"/>
      <c r="I821" s="504"/>
      <c r="J821" s="504"/>
      <c r="K821" s="503"/>
      <c r="L821" s="505"/>
      <c r="M821" s="436"/>
      <c r="N821" s="503"/>
      <c r="O821" s="436"/>
      <c r="P821" s="436"/>
      <c r="Q821" s="436"/>
      <c r="R821" s="436"/>
      <c r="S821" s="436"/>
      <c r="T821" s="436"/>
      <c r="U821" s="503"/>
      <c r="V821" s="503"/>
      <c r="W821" s="503"/>
      <c r="X821" s="506"/>
      <c r="Y821" s="506"/>
      <c r="Z821" s="506"/>
      <c r="AA821" s="436"/>
      <c r="AB821" s="436"/>
      <c r="AC821" s="436"/>
      <c r="AD821" s="436"/>
      <c r="AE821" s="508"/>
      <c r="AF821" s="508"/>
      <c r="AG821" s="508"/>
      <c r="AH821" s="508"/>
      <c r="AI821" s="436"/>
      <c r="AJ821" s="436"/>
      <c r="AK821" s="436"/>
      <c r="AL821" s="436"/>
      <c r="AM821" s="436"/>
      <c r="AN821" s="436"/>
      <c r="AO821" s="436"/>
      <c r="AP821" s="436"/>
      <c r="AQ821" s="436"/>
      <c r="AR821" s="436"/>
      <c r="AS821" s="436"/>
      <c r="AT821" s="436"/>
      <c r="AU821" s="436"/>
      <c r="AV821" s="436"/>
      <c r="AW821" s="436"/>
      <c r="AX821" s="436"/>
      <c r="AY821" s="436"/>
      <c r="AZ821" s="436"/>
      <c r="BA821" s="436"/>
      <c r="BB821" s="436"/>
      <c r="BC821" s="436"/>
      <c r="BD821" s="436"/>
      <c r="BE821" s="436"/>
      <c r="BF821" s="436"/>
      <c r="BG821" s="436"/>
      <c r="BH821" s="436"/>
      <c r="BI821" s="436"/>
      <c r="BJ821" s="436"/>
      <c r="BK821" s="436"/>
      <c r="BL821" s="436"/>
      <c r="BM821" s="436"/>
      <c r="BN821" s="436"/>
      <c r="BO821" s="339"/>
      <c r="BP821" s="436"/>
      <c r="BQ821" s="436"/>
      <c r="BR821" s="436"/>
      <c r="BS821" s="436"/>
      <c r="BT821" s="436"/>
      <c r="BU821" s="436"/>
      <c r="BV821" s="436"/>
      <c r="BW821" s="436"/>
      <c r="BX821" s="1"/>
      <c r="BY821" s="1"/>
      <c r="BZ821" s="1"/>
      <c r="CA821" s="1"/>
      <c r="CB821" s="1"/>
      <c r="CC821" s="1"/>
      <c r="CD821" s="1"/>
      <c r="CE821" s="1"/>
      <c r="CF821" s="1"/>
      <c r="CG821" s="1"/>
    </row>
    <row r="822" spans="1:85" ht="15.75" customHeight="1">
      <c r="A822" s="500"/>
      <c r="B822" s="216"/>
      <c r="C822" s="527"/>
      <c r="D822" s="216"/>
      <c r="E822" s="503"/>
      <c r="F822" s="436"/>
      <c r="G822" s="436"/>
      <c r="H822" s="503"/>
      <c r="I822" s="504"/>
      <c r="J822" s="504"/>
      <c r="K822" s="503"/>
      <c r="L822" s="505"/>
      <c r="M822" s="436"/>
      <c r="N822" s="503"/>
      <c r="O822" s="436"/>
      <c r="P822" s="436"/>
      <c r="Q822" s="436"/>
      <c r="R822" s="436"/>
      <c r="S822" s="436"/>
      <c r="T822" s="436"/>
      <c r="U822" s="503"/>
      <c r="V822" s="503"/>
      <c r="W822" s="503"/>
      <c r="X822" s="506"/>
      <c r="Y822" s="506"/>
      <c r="Z822" s="506"/>
      <c r="AA822" s="436"/>
      <c r="AB822" s="436"/>
      <c r="AC822" s="436"/>
      <c r="AD822" s="436"/>
      <c r="AE822" s="508"/>
      <c r="AF822" s="508"/>
      <c r="AG822" s="508"/>
      <c r="AH822" s="508"/>
      <c r="AI822" s="436"/>
      <c r="AJ822" s="436"/>
      <c r="AK822" s="436"/>
      <c r="AL822" s="436"/>
      <c r="AM822" s="436"/>
      <c r="AN822" s="436"/>
      <c r="AO822" s="436"/>
      <c r="AP822" s="436"/>
      <c r="AQ822" s="436"/>
      <c r="AR822" s="436"/>
      <c r="AS822" s="436"/>
      <c r="AT822" s="436"/>
      <c r="AU822" s="436"/>
      <c r="AV822" s="436"/>
      <c r="AW822" s="436"/>
      <c r="AX822" s="436"/>
      <c r="AY822" s="436"/>
      <c r="AZ822" s="436"/>
      <c r="BA822" s="436"/>
      <c r="BB822" s="436"/>
      <c r="BC822" s="436"/>
      <c r="BD822" s="436"/>
      <c r="BE822" s="436"/>
      <c r="BF822" s="436"/>
      <c r="BG822" s="436"/>
      <c r="BH822" s="436"/>
      <c r="BI822" s="436"/>
      <c r="BJ822" s="436"/>
      <c r="BK822" s="436"/>
      <c r="BL822" s="436"/>
      <c r="BM822" s="436"/>
      <c r="BN822" s="436"/>
      <c r="BO822" s="339"/>
      <c r="BP822" s="436"/>
      <c r="BQ822" s="436"/>
      <c r="BR822" s="436"/>
      <c r="BS822" s="436"/>
      <c r="BT822" s="436"/>
      <c r="BU822" s="436"/>
      <c r="BV822" s="436"/>
      <c r="BW822" s="436"/>
      <c r="BX822" s="1"/>
      <c r="BY822" s="1"/>
      <c r="BZ822" s="1"/>
      <c r="CA822" s="1"/>
      <c r="CB822" s="1"/>
      <c r="CC822" s="1"/>
      <c r="CD822" s="1"/>
      <c r="CE822" s="1"/>
      <c r="CF822" s="1"/>
      <c r="CG822" s="1"/>
    </row>
    <row r="823" spans="1:85" ht="15.75" customHeight="1">
      <c r="A823" s="500"/>
      <c r="B823" s="216"/>
      <c r="C823" s="527"/>
      <c r="D823" s="216"/>
      <c r="E823" s="503"/>
      <c r="F823" s="436"/>
      <c r="G823" s="436"/>
      <c r="H823" s="503"/>
      <c r="I823" s="504"/>
      <c r="J823" s="504"/>
      <c r="K823" s="503"/>
      <c r="L823" s="505"/>
      <c r="M823" s="436"/>
      <c r="N823" s="503"/>
      <c r="O823" s="436"/>
      <c r="P823" s="436"/>
      <c r="Q823" s="436"/>
      <c r="R823" s="436"/>
      <c r="S823" s="436"/>
      <c r="T823" s="436"/>
      <c r="U823" s="503"/>
      <c r="V823" s="503"/>
      <c r="W823" s="503"/>
      <c r="X823" s="506"/>
      <c r="Y823" s="506"/>
      <c r="Z823" s="506"/>
      <c r="AA823" s="436"/>
      <c r="AB823" s="436"/>
      <c r="AC823" s="436"/>
      <c r="AD823" s="436"/>
      <c r="AE823" s="508"/>
      <c r="AF823" s="508"/>
      <c r="AG823" s="508"/>
      <c r="AH823" s="508"/>
      <c r="AI823" s="436"/>
      <c r="AJ823" s="436"/>
      <c r="AK823" s="436"/>
      <c r="AL823" s="436"/>
      <c r="AM823" s="436"/>
      <c r="AN823" s="436"/>
      <c r="AO823" s="436"/>
      <c r="AP823" s="436"/>
      <c r="AQ823" s="436"/>
      <c r="AR823" s="436"/>
      <c r="AS823" s="436"/>
      <c r="AT823" s="436"/>
      <c r="AU823" s="436"/>
      <c r="AV823" s="436"/>
      <c r="AW823" s="436"/>
      <c r="AX823" s="436"/>
      <c r="AY823" s="436"/>
      <c r="AZ823" s="436"/>
      <c r="BA823" s="436"/>
      <c r="BB823" s="436"/>
      <c r="BC823" s="436"/>
      <c r="BD823" s="436"/>
      <c r="BE823" s="436"/>
      <c r="BF823" s="436"/>
      <c r="BG823" s="436"/>
      <c r="BH823" s="436"/>
      <c r="BI823" s="436"/>
      <c r="BJ823" s="436"/>
      <c r="BK823" s="436"/>
      <c r="BL823" s="436"/>
      <c r="BM823" s="436"/>
      <c r="BN823" s="436"/>
      <c r="BO823" s="339"/>
      <c r="BP823" s="436"/>
      <c r="BQ823" s="436"/>
      <c r="BR823" s="436"/>
      <c r="BS823" s="436"/>
      <c r="BT823" s="436"/>
      <c r="BU823" s="436"/>
      <c r="BV823" s="436"/>
      <c r="BW823" s="436"/>
      <c r="BX823" s="1"/>
      <c r="BY823" s="1"/>
      <c r="BZ823" s="1"/>
      <c r="CA823" s="1"/>
      <c r="CB823" s="1"/>
      <c r="CC823" s="1"/>
      <c r="CD823" s="1"/>
      <c r="CE823" s="1"/>
      <c r="CF823" s="1"/>
      <c r="CG823" s="1"/>
    </row>
    <row r="824" spans="1:85" ht="15.75" customHeight="1">
      <c r="A824" s="500"/>
      <c r="B824" s="216"/>
      <c r="C824" s="527"/>
      <c r="D824" s="216"/>
      <c r="E824" s="503"/>
      <c r="F824" s="436"/>
      <c r="G824" s="436"/>
      <c r="H824" s="503"/>
      <c r="I824" s="504"/>
      <c r="J824" s="504"/>
      <c r="K824" s="503"/>
      <c r="L824" s="505"/>
      <c r="M824" s="436"/>
      <c r="N824" s="503"/>
      <c r="O824" s="436"/>
      <c r="P824" s="436"/>
      <c r="Q824" s="436"/>
      <c r="R824" s="436"/>
      <c r="S824" s="436"/>
      <c r="T824" s="436"/>
      <c r="U824" s="503"/>
      <c r="V824" s="503"/>
      <c r="W824" s="503"/>
      <c r="X824" s="506"/>
      <c r="Y824" s="506"/>
      <c r="Z824" s="506"/>
      <c r="AA824" s="436"/>
      <c r="AB824" s="436"/>
      <c r="AC824" s="436"/>
      <c r="AD824" s="436"/>
      <c r="AE824" s="508"/>
      <c r="AF824" s="508"/>
      <c r="AG824" s="508"/>
      <c r="AH824" s="508"/>
      <c r="AI824" s="436"/>
      <c r="AJ824" s="436"/>
      <c r="AK824" s="436"/>
      <c r="AL824" s="436"/>
      <c r="AM824" s="436"/>
      <c r="AN824" s="436"/>
      <c r="AO824" s="436"/>
      <c r="AP824" s="436"/>
      <c r="AQ824" s="436"/>
      <c r="AR824" s="436"/>
      <c r="AS824" s="436"/>
      <c r="AT824" s="436"/>
      <c r="AU824" s="436"/>
      <c r="AV824" s="436"/>
      <c r="AW824" s="436"/>
      <c r="AX824" s="436"/>
      <c r="AY824" s="436"/>
      <c r="AZ824" s="436"/>
      <c r="BA824" s="436"/>
      <c r="BB824" s="436"/>
      <c r="BC824" s="436"/>
      <c r="BD824" s="436"/>
      <c r="BE824" s="436"/>
      <c r="BF824" s="436"/>
      <c r="BG824" s="436"/>
      <c r="BH824" s="436"/>
      <c r="BI824" s="436"/>
      <c r="BJ824" s="436"/>
      <c r="BK824" s="436"/>
      <c r="BL824" s="436"/>
      <c r="BM824" s="436"/>
      <c r="BN824" s="436"/>
      <c r="BO824" s="339"/>
      <c r="BP824" s="436"/>
      <c r="BQ824" s="436"/>
      <c r="BR824" s="436"/>
      <c r="BS824" s="436"/>
      <c r="BT824" s="436"/>
      <c r="BU824" s="436"/>
      <c r="BV824" s="436"/>
      <c r="BW824" s="436"/>
      <c r="BX824" s="1"/>
      <c r="BY824" s="1"/>
      <c r="BZ824" s="1"/>
      <c r="CA824" s="1"/>
      <c r="CB824" s="1"/>
      <c r="CC824" s="1"/>
      <c r="CD824" s="1"/>
      <c r="CE824" s="1"/>
      <c r="CF824" s="1"/>
      <c r="CG824" s="1"/>
    </row>
    <row r="825" spans="1:85" ht="15.75" customHeight="1">
      <c r="A825" s="500"/>
      <c r="B825" s="216"/>
      <c r="C825" s="527"/>
      <c r="D825" s="216"/>
      <c r="E825" s="503"/>
      <c r="F825" s="436"/>
      <c r="G825" s="436"/>
      <c r="H825" s="503"/>
      <c r="I825" s="504"/>
      <c r="J825" s="504"/>
      <c r="K825" s="503"/>
      <c r="L825" s="505"/>
      <c r="M825" s="436"/>
      <c r="N825" s="503"/>
      <c r="O825" s="436"/>
      <c r="P825" s="436"/>
      <c r="Q825" s="436"/>
      <c r="R825" s="436"/>
      <c r="S825" s="436"/>
      <c r="T825" s="436"/>
      <c r="U825" s="503"/>
      <c r="V825" s="503"/>
      <c r="W825" s="503"/>
      <c r="X825" s="506"/>
      <c r="Y825" s="506"/>
      <c r="Z825" s="506"/>
      <c r="AA825" s="436"/>
      <c r="AB825" s="436"/>
      <c r="AC825" s="436"/>
      <c r="AD825" s="436"/>
      <c r="AE825" s="508"/>
      <c r="AF825" s="508"/>
      <c r="AG825" s="508"/>
      <c r="AH825" s="508"/>
      <c r="AI825" s="436"/>
      <c r="AJ825" s="436"/>
      <c r="AK825" s="436"/>
      <c r="AL825" s="436"/>
      <c r="AM825" s="436"/>
      <c r="AN825" s="436"/>
      <c r="AO825" s="436"/>
      <c r="AP825" s="436"/>
      <c r="AQ825" s="436"/>
      <c r="AR825" s="436"/>
      <c r="AS825" s="436"/>
      <c r="AT825" s="436"/>
      <c r="AU825" s="436"/>
      <c r="AV825" s="436"/>
      <c r="AW825" s="436"/>
      <c r="AX825" s="436"/>
      <c r="AY825" s="436"/>
      <c r="AZ825" s="436"/>
      <c r="BA825" s="436"/>
      <c r="BB825" s="436"/>
      <c r="BC825" s="436"/>
      <c r="BD825" s="436"/>
      <c r="BE825" s="436"/>
      <c r="BF825" s="436"/>
      <c r="BG825" s="436"/>
      <c r="BH825" s="436"/>
      <c r="BI825" s="436"/>
      <c r="BJ825" s="436"/>
      <c r="BK825" s="436"/>
      <c r="BL825" s="436"/>
      <c r="BM825" s="436"/>
      <c r="BN825" s="436"/>
      <c r="BO825" s="339"/>
      <c r="BP825" s="436"/>
      <c r="BQ825" s="436"/>
      <c r="BR825" s="436"/>
      <c r="BS825" s="436"/>
      <c r="BT825" s="436"/>
      <c r="BU825" s="436"/>
      <c r="BV825" s="436"/>
      <c r="BW825" s="436"/>
      <c r="BX825" s="1"/>
      <c r="BY825" s="1"/>
      <c r="BZ825" s="1"/>
      <c r="CA825" s="1"/>
      <c r="CB825" s="1"/>
      <c r="CC825" s="1"/>
      <c r="CD825" s="1"/>
      <c r="CE825" s="1"/>
      <c r="CF825" s="1"/>
      <c r="CG825" s="1"/>
    </row>
    <row r="826" spans="1:85" ht="15.75" customHeight="1">
      <c r="A826" s="500"/>
      <c r="B826" s="216"/>
      <c r="C826" s="527"/>
      <c r="D826" s="216"/>
      <c r="E826" s="503"/>
      <c r="F826" s="436"/>
      <c r="G826" s="436"/>
      <c r="H826" s="503"/>
      <c r="I826" s="504"/>
      <c r="J826" s="504"/>
      <c r="K826" s="503"/>
      <c r="L826" s="505"/>
      <c r="M826" s="436"/>
      <c r="N826" s="503"/>
      <c r="O826" s="436"/>
      <c r="P826" s="436"/>
      <c r="Q826" s="436"/>
      <c r="R826" s="436"/>
      <c r="S826" s="436"/>
      <c r="T826" s="436"/>
      <c r="U826" s="503"/>
      <c r="V826" s="503"/>
      <c r="W826" s="503"/>
      <c r="X826" s="506"/>
      <c r="Y826" s="506"/>
      <c r="Z826" s="506"/>
      <c r="AA826" s="436"/>
      <c r="AB826" s="436"/>
      <c r="AC826" s="436"/>
      <c r="AD826" s="436"/>
      <c r="AE826" s="508"/>
      <c r="AF826" s="508"/>
      <c r="AG826" s="508"/>
      <c r="AH826" s="508"/>
      <c r="AI826" s="436"/>
      <c r="AJ826" s="436"/>
      <c r="AK826" s="436"/>
      <c r="AL826" s="436"/>
      <c r="AM826" s="436"/>
      <c r="AN826" s="436"/>
      <c r="AO826" s="436"/>
      <c r="AP826" s="436"/>
      <c r="AQ826" s="436"/>
      <c r="AR826" s="436"/>
      <c r="AS826" s="436"/>
      <c r="AT826" s="436"/>
      <c r="AU826" s="436"/>
      <c r="AV826" s="436"/>
      <c r="AW826" s="436"/>
      <c r="AX826" s="436"/>
      <c r="AY826" s="436"/>
      <c r="AZ826" s="436"/>
      <c r="BA826" s="436"/>
      <c r="BB826" s="436"/>
      <c r="BC826" s="436"/>
      <c r="BD826" s="436"/>
      <c r="BE826" s="436"/>
      <c r="BF826" s="436"/>
      <c r="BG826" s="436"/>
      <c r="BH826" s="436"/>
      <c r="BI826" s="436"/>
      <c r="BJ826" s="436"/>
      <c r="BK826" s="436"/>
      <c r="BL826" s="436"/>
      <c r="BM826" s="436"/>
      <c r="BN826" s="436"/>
      <c r="BO826" s="339"/>
      <c r="BP826" s="436"/>
      <c r="BQ826" s="436"/>
      <c r="BR826" s="436"/>
      <c r="BS826" s="436"/>
      <c r="BT826" s="436"/>
      <c r="BU826" s="436"/>
      <c r="BV826" s="436"/>
      <c r="BW826" s="436"/>
      <c r="BX826" s="1"/>
      <c r="BY826" s="1"/>
      <c r="BZ826" s="1"/>
      <c r="CA826" s="1"/>
      <c r="CB826" s="1"/>
      <c r="CC826" s="1"/>
      <c r="CD826" s="1"/>
      <c r="CE826" s="1"/>
      <c r="CF826" s="1"/>
      <c r="CG826" s="1"/>
    </row>
    <row r="827" spans="1:85" ht="15.75" customHeight="1">
      <c r="A827" s="500"/>
      <c r="B827" s="216"/>
      <c r="C827" s="527"/>
      <c r="D827" s="216"/>
      <c r="E827" s="503"/>
      <c r="F827" s="436"/>
      <c r="G827" s="436"/>
      <c r="H827" s="503"/>
      <c r="I827" s="504"/>
      <c r="J827" s="504"/>
      <c r="K827" s="503"/>
      <c r="L827" s="505"/>
      <c r="M827" s="436"/>
      <c r="N827" s="503"/>
      <c r="O827" s="436"/>
      <c r="P827" s="436"/>
      <c r="Q827" s="436"/>
      <c r="R827" s="436"/>
      <c r="S827" s="436"/>
      <c r="T827" s="436"/>
      <c r="U827" s="503"/>
      <c r="V827" s="503"/>
      <c r="W827" s="503"/>
      <c r="X827" s="506"/>
      <c r="Y827" s="506"/>
      <c r="Z827" s="506"/>
      <c r="AA827" s="436"/>
      <c r="AB827" s="436"/>
      <c r="AC827" s="436"/>
      <c r="AD827" s="436"/>
      <c r="AE827" s="508"/>
      <c r="AF827" s="508"/>
      <c r="AG827" s="508"/>
      <c r="AH827" s="508"/>
      <c r="AI827" s="436"/>
      <c r="AJ827" s="436"/>
      <c r="AK827" s="436"/>
      <c r="AL827" s="436"/>
      <c r="AM827" s="436"/>
      <c r="AN827" s="436"/>
      <c r="AO827" s="436"/>
      <c r="AP827" s="436"/>
      <c r="AQ827" s="436"/>
      <c r="AR827" s="436"/>
      <c r="AS827" s="436"/>
      <c r="AT827" s="436"/>
      <c r="AU827" s="436"/>
      <c r="AV827" s="436"/>
      <c r="AW827" s="436"/>
      <c r="AX827" s="436"/>
      <c r="AY827" s="436"/>
      <c r="AZ827" s="436"/>
      <c r="BA827" s="436"/>
      <c r="BB827" s="436"/>
      <c r="BC827" s="436"/>
      <c r="BD827" s="436"/>
      <c r="BE827" s="436"/>
      <c r="BF827" s="436"/>
      <c r="BG827" s="436"/>
      <c r="BH827" s="436"/>
      <c r="BI827" s="436"/>
      <c r="BJ827" s="436"/>
      <c r="BK827" s="436"/>
      <c r="BL827" s="436"/>
      <c r="BM827" s="436"/>
      <c r="BN827" s="436"/>
      <c r="BO827" s="339"/>
      <c r="BP827" s="436"/>
      <c r="BQ827" s="436"/>
      <c r="BR827" s="436"/>
      <c r="BS827" s="436"/>
      <c r="BT827" s="436"/>
      <c r="BU827" s="436"/>
      <c r="BV827" s="436"/>
      <c r="BW827" s="436"/>
      <c r="BX827" s="1"/>
      <c r="BY827" s="1"/>
      <c r="BZ827" s="1"/>
      <c r="CA827" s="1"/>
      <c r="CB827" s="1"/>
      <c r="CC827" s="1"/>
      <c r="CD827" s="1"/>
      <c r="CE827" s="1"/>
      <c r="CF827" s="1"/>
      <c r="CG827" s="1"/>
    </row>
    <row r="828" spans="1:85" ht="15.75" customHeight="1">
      <c r="A828" s="500"/>
      <c r="B828" s="216"/>
      <c r="C828" s="527"/>
      <c r="D828" s="216"/>
      <c r="E828" s="503"/>
      <c r="F828" s="436"/>
      <c r="G828" s="436"/>
      <c r="H828" s="503"/>
      <c r="I828" s="504"/>
      <c r="J828" s="504"/>
      <c r="K828" s="503"/>
      <c r="L828" s="505"/>
      <c r="M828" s="436"/>
      <c r="N828" s="503"/>
      <c r="O828" s="436"/>
      <c r="P828" s="436"/>
      <c r="Q828" s="436"/>
      <c r="R828" s="436"/>
      <c r="S828" s="436"/>
      <c r="T828" s="436"/>
      <c r="U828" s="503"/>
      <c r="V828" s="503"/>
      <c r="W828" s="503"/>
      <c r="X828" s="506"/>
      <c r="Y828" s="506"/>
      <c r="Z828" s="506"/>
      <c r="AA828" s="436"/>
      <c r="AB828" s="436"/>
      <c r="AC828" s="436"/>
      <c r="AD828" s="436"/>
      <c r="AE828" s="508"/>
      <c r="AF828" s="508"/>
      <c r="AG828" s="508"/>
      <c r="AH828" s="508"/>
      <c r="AI828" s="436"/>
      <c r="AJ828" s="436"/>
      <c r="AK828" s="436"/>
      <c r="AL828" s="436"/>
      <c r="AM828" s="436"/>
      <c r="AN828" s="436"/>
      <c r="AO828" s="436"/>
      <c r="AP828" s="436"/>
      <c r="AQ828" s="436"/>
      <c r="AR828" s="436"/>
      <c r="AS828" s="436"/>
      <c r="AT828" s="436"/>
      <c r="AU828" s="436"/>
      <c r="AV828" s="436"/>
      <c r="AW828" s="436"/>
      <c r="AX828" s="436"/>
      <c r="AY828" s="436"/>
      <c r="AZ828" s="436"/>
      <c r="BA828" s="436"/>
      <c r="BB828" s="436"/>
      <c r="BC828" s="436"/>
      <c r="BD828" s="436"/>
      <c r="BE828" s="436"/>
      <c r="BF828" s="436"/>
      <c r="BG828" s="436"/>
      <c r="BH828" s="436"/>
      <c r="BI828" s="436"/>
      <c r="BJ828" s="436"/>
      <c r="BK828" s="436"/>
      <c r="BL828" s="436"/>
      <c r="BM828" s="436"/>
      <c r="BN828" s="436"/>
      <c r="BO828" s="339"/>
      <c r="BP828" s="436"/>
      <c r="BQ828" s="436"/>
      <c r="BR828" s="436"/>
      <c r="BS828" s="436"/>
      <c r="BT828" s="436"/>
      <c r="BU828" s="436"/>
      <c r="BV828" s="436"/>
      <c r="BW828" s="436"/>
      <c r="BX828" s="1"/>
      <c r="BY828" s="1"/>
      <c r="BZ828" s="1"/>
      <c r="CA828" s="1"/>
      <c r="CB828" s="1"/>
      <c r="CC828" s="1"/>
      <c r="CD828" s="1"/>
      <c r="CE828" s="1"/>
      <c r="CF828" s="1"/>
      <c r="CG828" s="1"/>
    </row>
    <row r="829" spans="1:85" ht="15.75" customHeight="1">
      <c r="A829" s="500"/>
      <c r="B829" s="216"/>
      <c r="C829" s="527"/>
      <c r="D829" s="216"/>
      <c r="E829" s="503"/>
      <c r="F829" s="436"/>
      <c r="G829" s="436"/>
      <c r="H829" s="503"/>
      <c r="I829" s="504"/>
      <c r="J829" s="504"/>
      <c r="K829" s="503"/>
      <c r="L829" s="505"/>
      <c r="M829" s="436"/>
      <c r="N829" s="503"/>
      <c r="O829" s="436"/>
      <c r="P829" s="436"/>
      <c r="Q829" s="436"/>
      <c r="R829" s="436"/>
      <c r="S829" s="436"/>
      <c r="T829" s="436"/>
      <c r="U829" s="503"/>
      <c r="V829" s="503"/>
      <c r="W829" s="503"/>
      <c r="X829" s="506"/>
      <c r="Y829" s="506"/>
      <c r="Z829" s="506"/>
      <c r="AA829" s="436"/>
      <c r="AB829" s="436"/>
      <c r="AC829" s="436"/>
      <c r="AD829" s="436"/>
      <c r="AE829" s="508"/>
      <c r="AF829" s="508"/>
      <c r="AG829" s="508"/>
      <c r="AH829" s="508"/>
      <c r="AI829" s="436"/>
      <c r="AJ829" s="436"/>
      <c r="AK829" s="436"/>
      <c r="AL829" s="436"/>
      <c r="AM829" s="436"/>
      <c r="AN829" s="436"/>
      <c r="AO829" s="436"/>
      <c r="AP829" s="436"/>
      <c r="AQ829" s="436"/>
      <c r="AR829" s="436"/>
      <c r="AS829" s="436"/>
      <c r="AT829" s="436"/>
      <c r="AU829" s="436"/>
      <c r="AV829" s="436"/>
      <c r="AW829" s="436"/>
      <c r="AX829" s="436"/>
      <c r="AY829" s="436"/>
      <c r="AZ829" s="436"/>
      <c r="BA829" s="436"/>
      <c r="BB829" s="436"/>
      <c r="BC829" s="436"/>
      <c r="BD829" s="436"/>
      <c r="BE829" s="436"/>
      <c r="BF829" s="436"/>
      <c r="BG829" s="436"/>
      <c r="BH829" s="436"/>
      <c r="BI829" s="436"/>
      <c r="BJ829" s="436"/>
      <c r="BK829" s="436"/>
      <c r="BL829" s="436"/>
      <c r="BM829" s="436"/>
      <c r="BN829" s="436"/>
      <c r="BO829" s="339"/>
      <c r="BP829" s="436"/>
      <c r="BQ829" s="436"/>
      <c r="BR829" s="436"/>
      <c r="BS829" s="436"/>
      <c r="BT829" s="436"/>
      <c r="BU829" s="436"/>
      <c r="BV829" s="436"/>
      <c r="BW829" s="436"/>
      <c r="BX829" s="1"/>
      <c r="BY829" s="1"/>
      <c r="BZ829" s="1"/>
      <c r="CA829" s="1"/>
      <c r="CB829" s="1"/>
      <c r="CC829" s="1"/>
      <c r="CD829" s="1"/>
      <c r="CE829" s="1"/>
      <c r="CF829" s="1"/>
      <c r="CG829" s="1"/>
    </row>
    <row r="830" spans="1:85" ht="15.75" customHeight="1">
      <c r="A830" s="500"/>
      <c r="B830" s="216"/>
      <c r="C830" s="527"/>
      <c r="D830" s="216"/>
      <c r="E830" s="503"/>
      <c r="F830" s="436"/>
      <c r="G830" s="436"/>
      <c r="H830" s="503"/>
      <c r="I830" s="504"/>
      <c r="J830" s="504"/>
      <c r="K830" s="503"/>
      <c r="L830" s="505"/>
      <c r="M830" s="436"/>
      <c r="N830" s="503"/>
      <c r="O830" s="436"/>
      <c r="P830" s="436"/>
      <c r="Q830" s="436"/>
      <c r="R830" s="436"/>
      <c r="S830" s="436"/>
      <c r="T830" s="436"/>
      <c r="U830" s="503"/>
      <c r="V830" s="503"/>
      <c r="W830" s="503"/>
      <c r="X830" s="506"/>
      <c r="Y830" s="506"/>
      <c r="Z830" s="506"/>
      <c r="AA830" s="436"/>
      <c r="AB830" s="436"/>
      <c r="AC830" s="436"/>
      <c r="AD830" s="436"/>
      <c r="AE830" s="508"/>
      <c r="AF830" s="508"/>
      <c r="AG830" s="508"/>
      <c r="AH830" s="508"/>
      <c r="AI830" s="436"/>
      <c r="AJ830" s="436"/>
      <c r="AK830" s="436"/>
      <c r="AL830" s="436"/>
      <c r="AM830" s="436"/>
      <c r="AN830" s="436"/>
      <c r="AO830" s="436"/>
      <c r="AP830" s="436"/>
      <c r="AQ830" s="436"/>
      <c r="AR830" s="436"/>
      <c r="AS830" s="436"/>
      <c r="AT830" s="436"/>
      <c r="AU830" s="436"/>
      <c r="AV830" s="436"/>
      <c r="AW830" s="436"/>
      <c r="AX830" s="436"/>
      <c r="AY830" s="436"/>
      <c r="AZ830" s="436"/>
      <c r="BA830" s="436"/>
      <c r="BB830" s="436"/>
      <c r="BC830" s="436"/>
      <c r="BD830" s="436"/>
      <c r="BE830" s="436"/>
      <c r="BF830" s="436"/>
      <c r="BG830" s="436"/>
      <c r="BH830" s="436"/>
      <c r="BI830" s="436"/>
      <c r="BJ830" s="436"/>
      <c r="BK830" s="436"/>
      <c r="BL830" s="436"/>
      <c r="BM830" s="436"/>
      <c r="BN830" s="436"/>
      <c r="BO830" s="339"/>
      <c r="BP830" s="436"/>
      <c r="BQ830" s="436"/>
      <c r="BR830" s="436"/>
      <c r="BS830" s="436"/>
      <c r="BT830" s="436"/>
      <c r="BU830" s="436"/>
      <c r="BV830" s="436"/>
      <c r="BW830" s="436"/>
      <c r="BX830" s="1"/>
      <c r="BY830" s="1"/>
      <c r="BZ830" s="1"/>
      <c r="CA830" s="1"/>
      <c r="CB830" s="1"/>
      <c r="CC830" s="1"/>
      <c r="CD830" s="1"/>
      <c r="CE830" s="1"/>
      <c r="CF830" s="1"/>
      <c r="CG830" s="1"/>
    </row>
    <row r="831" spans="1:85" ht="15.75" customHeight="1">
      <c r="A831" s="500"/>
      <c r="B831" s="216"/>
      <c r="C831" s="527"/>
      <c r="D831" s="216"/>
      <c r="E831" s="503"/>
      <c r="F831" s="436"/>
      <c r="G831" s="436"/>
      <c r="H831" s="503"/>
      <c r="I831" s="504"/>
      <c r="J831" s="504"/>
      <c r="K831" s="503"/>
      <c r="L831" s="505"/>
      <c r="M831" s="436"/>
      <c r="N831" s="503"/>
      <c r="O831" s="436"/>
      <c r="P831" s="436"/>
      <c r="Q831" s="436"/>
      <c r="R831" s="436"/>
      <c r="S831" s="436"/>
      <c r="T831" s="436"/>
      <c r="U831" s="503"/>
      <c r="V831" s="503"/>
      <c r="W831" s="503"/>
      <c r="X831" s="506"/>
      <c r="Y831" s="506"/>
      <c r="Z831" s="506"/>
      <c r="AA831" s="436"/>
      <c r="AB831" s="436"/>
      <c r="AC831" s="436"/>
      <c r="AD831" s="436"/>
      <c r="AE831" s="508"/>
      <c r="AF831" s="508"/>
      <c r="AG831" s="508"/>
      <c r="AH831" s="508"/>
      <c r="AI831" s="436"/>
      <c r="AJ831" s="436"/>
      <c r="AK831" s="436"/>
      <c r="AL831" s="436"/>
      <c r="AM831" s="436"/>
      <c r="AN831" s="436"/>
      <c r="AO831" s="436"/>
      <c r="AP831" s="436"/>
      <c r="AQ831" s="436"/>
      <c r="AR831" s="436"/>
      <c r="AS831" s="436"/>
      <c r="AT831" s="436"/>
      <c r="AU831" s="436"/>
      <c r="AV831" s="436"/>
      <c r="AW831" s="436"/>
      <c r="AX831" s="436"/>
      <c r="AY831" s="436"/>
      <c r="AZ831" s="436"/>
      <c r="BA831" s="436"/>
      <c r="BB831" s="436"/>
      <c r="BC831" s="436"/>
      <c r="BD831" s="436"/>
      <c r="BE831" s="436"/>
      <c r="BF831" s="436"/>
      <c r="BG831" s="436"/>
      <c r="BH831" s="436"/>
      <c r="BI831" s="436"/>
      <c r="BJ831" s="436"/>
      <c r="BK831" s="436"/>
      <c r="BL831" s="436"/>
      <c r="BM831" s="436"/>
      <c r="BN831" s="436"/>
      <c r="BO831" s="339"/>
      <c r="BP831" s="436"/>
      <c r="BQ831" s="436"/>
      <c r="BR831" s="436"/>
      <c r="BS831" s="436"/>
      <c r="BT831" s="436"/>
      <c r="BU831" s="436"/>
      <c r="BV831" s="436"/>
      <c r="BW831" s="436"/>
      <c r="BX831" s="1"/>
      <c r="BY831" s="1"/>
      <c r="BZ831" s="1"/>
      <c r="CA831" s="1"/>
      <c r="CB831" s="1"/>
      <c r="CC831" s="1"/>
      <c r="CD831" s="1"/>
      <c r="CE831" s="1"/>
      <c r="CF831" s="1"/>
      <c r="CG831" s="1"/>
    </row>
    <row r="832" spans="1:85" ht="15.75" customHeight="1">
      <c r="A832" s="500"/>
      <c r="B832" s="216"/>
      <c r="C832" s="527"/>
      <c r="D832" s="216"/>
      <c r="E832" s="503"/>
      <c r="F832" s="436"/>
      <c r="G832" s="436"/>
      <c r="H832" s="503"/>
      <c r="I832" s="504"/>
      <c r="J832" s="504"/>
      <c r="K832" s="503"/>
      <c r="L832" s="505"/>
      <c r="M832" s="436"/>
      <c r="N832" s="503"/>
      <c r="O832" s="436"/>
      <c r="P832" s="436"/>
      <c r="Q832" s="436"/>
      <c r="R832" s="436"/>
      <c r="S832" s="436"/>
      <c r="T832" s="436"/>
      <c r="U832" s="503"/>
      <c r="V832" s="503"/>
      <c r="W832" s="503"/>
      <c r="X832" s="506"/>
      <c r="Y832" s="506"/>
      <c r="Z832" s="506"/>
      <c r="AA832" s="436"/>
      <c r="AB832" s="436"/>
      <c r="AC832" s="436"/>
      <c r="AD832" s="436"/>
      <c r="AE832" s="508"/>
      <c r="AF832" s="508"/>
      <c r="AG832" s="508"/>
      <c r="AH832" s="508"/>
      <c r="AI832" s="436"/>
      <c r="AJ832" s="436"/>
      <c r="AK832" s="436"/>
      <c r="AL832" s="436"/>
      <c r="AM832" s="436"/>
      <c r="AN832" s="436"/>
      <c r="AO832" s="436"/>
      <c r="AP832" s="436"/>
      <c r="AQ832" s="436"/>
      <c r="AR832" s="436"/>
      <c r="AS832" s="436"/>
      <c r="AT832" s="436"/>
      <c r="AU832" s="436"/>
      <c r="AV832" s="436"/>
      <c r="AW832" s="436"/>
      <c r="AX832" s="436"/>
      <c r="AY832" s="436"/>
      <c r="AZ832" s="436"/>
      <c r="BA832" s="436"/>
      <c r="BB832" s="436"/>
      <c r="BC832" s="436"/>
      <c r="BD832" s="436"/>
      <c r="BE832" s="436"/>
      <c r="BF832" s="436"/>
      <c r="BG832" s="436"/>
      <c r="BH832" s="436"/>
      <c r="BI832" s="436"/>
      <c r="BJ832" s="436"/>
      <c r="BK832" s="436"/>
      <c r="BL832" s="436"/>
      <c r="BM832" s="436"/>
      <c r="BN832" s="436"/>
      <c r="BO832" s="339"/>
      <c r="BP832" s="436"/>
      <c r="BQ832" s="436"/>
      <c r="BR832" s="436"/>
      <c r="BS832" s="436"/>
      <c r="BT832" s="436"/>
      <c r="BU832" s="436"/>
      <c r="BV832" s="436"/>
      <c r="BW832" s="436"/>
      <c r="BX832" s="1"/>
      <c r="BY832" s="1"/>
      <c r="BZ832" s="1"/>
      <c r="CA832" s="1"/>
      <c r="CB832" s="1"/>
      <c r="CC832" s="1"/>
      <c r="CD832" s="1"/>
      <c r="CE832" s="1"/>
      <c r="CF832" s="1"/>
      <c r="CG832" s="1"/>
    </row>
    <row r="833" spans="1:85" ht="15.75" customHeight="1">
      <c r="A833" s="500"/>
      <c r="B833" s="216"/>
      <c r="C833" s="527"/>
      <c r="D833" s="216"/>
      <c r="E833" s="503"/>
      <c r="F833" s="436"/>
      <c r="G833" s="436"/>
      <c r="H833" s="503"/>
      <c r="I833" s="504"/>
      <c r="J833" s="504"/>
      <c r="K833" s="503"/>
      <c r="L833" s="505"/>
      <c r="M833" s="436"/>
      <c r="N833" s="503"/>
      <c r="O833" s="436"/>
      <c r="P833" s="436"/>
      <c r="Q833" s="436"/>
      <c r="R833" s="436"/>
      <c r="S833" s="436"/>
      <c r="T833" s="436"/>
      <c r="U833" s="503"/>
      <c r="V833" s="503"/>
      <c r="W833" s="503"/>
      <c r="X833" s="506"/>
      <c r="Y833" s="506"/>
      <c r="Z833" s="506"/>
      <c r="AA833" s="436"/>
      <c r="AB833" s="436"/>
      <c r="AC833" s="436"/>
      <c r="AD833" s="436"/>
      <c r="AE833" s="508"/>
      <c r="AF833" s="508"/>
      <c r="AG833" s="508"/>
      <c r="AH833" s="508"/>
      <c r="AI833" s="436"/>
      <c r="AJ833" s="436"/>
      <c r="AK833" s="436"/>
      <c r="AL833" s="436"/>
      <c r="AM833" s="436"/>
      <c r="AN833" s="436"/>
      <c r="AO833" s="436"/>
      <c r="AP833" s="436"/>
      <c r="AQ833" s="436"/>
      <c r="AR833" s="436"/>
      <c r="AS833" s="436"/>
      <c r="AT833" s="436"/>
      <c r="AU833" s="436"/>
      <c r="AV833" s="436"/>
      <c r="AW833" s="436"/>
      <c r="AX833" s="436"/>
      <c r="AY833" s="436"/>
      <c r="AZ833" s="436"/>
      <c r="BA833" s="436"/>
      <c r="BB833" s="436"/>
      <c r="BC833" s="436"/>
      <c r="BD833" s="436"/>
      <c r="BE833" s="436"/>
      <c r="BF833" s="436"/>
      <c r="BG833" s="436"/>
      <c r="BH833" s="436"/>
      <c r="BI833" s="436"/>
      <c r="BJ833" s="436"/>
      <c r="BK833" s="436"/>
      <c r="BL833" s="436"/>
      <c r="BM833" s="436"/>
      <c r="BN833" s="436"/>
      <c r="BO833" s="339"/>
      <c r="BP833" s="436"/>
      <c r="BQ833" s="436"/>
      <c r="BR833" s="436"/>
      <c r="BS833" s="436"/>
      <c r="BT833" s="436"/>
      <c r="BU833" s="436"/>
      <c r="BV833" s="436"/>
      <c r="BW833" s="436"/>
      <c r="BX833" s="1"/>
      <c r="BY833" s="1"/>
      <c r="BZ833" s="1"/>
      <c r="CA833" s="1"/>
      <c r="CB833" s="1"/>
      <c r="CC833" s="1"/>
      <c r="CD833" s="1"/>
      <c r="CE833" s="1"/>
      <c r="CF833" s="1"/>
      <c r="CG833" s="1"/>
    </row>
    <row r="834" spans="1:85" ht="15.75" customHeight="1">
      <c r="A834" s="500"/>
      <c r="B834" s="216"/>
      <c r="C834" s="527"/>
      <c r="D834" s="216"/>
      <c r="E834" s="503"/>
      <c r="F834" s="436"/>
      <c r="G834" s="436"/>
      <c r="H834" s="503"/>
      <c r="I834" s="504"/>
      <c r="J834" s="504"/>
      <c r="K834" s="503"/>
      <c r="L834" s="505"/>
      <c r="M834" s="436"/>
      <c r="N834" s="503"/>
      <c r="O834" s="436"/>
      <c r="P834" s="436"/>
      <c r="Q834" s="436"/>
      <c r="R834" s="436"/>
      <c r="S834" s="436"/>
      <c r="T834" s="436"/>
      <c r="U834" s="503"/>
      <c r="V834" s="503"/>
      <c r="W834" s="503"/>
      <c r="X834" s="506"/>
      <c r="Y834" s="506"/>
      <c r="Z834" s="506"/>
      <c r="AA834" s="436"/>
      <c r="AB834" s="436"/>
      <c r="AC834" s="436"/>
      <c r="AD834" s="436"/>
      <c r="AE834" s="508"/>
      <c r="AF834" s="508"/>
      <c r="AG834" s="508"/>
      <c r="AH834" s="508"/>
      <c r="AI834" s="436"/>
      <c r="AJ834" s="436"/>
      <c r="AK834" s="436"/>
      <c r="AL834" s="436"/>
      <c r="AM834" s="436"/>
      <c r="AN834" s="436"/>
      <c r="AO834" s="436"/>
      <c r="AP834" s="436"/>
      <c r="AQ834" s="436"/>
      <c r="AR834" s="436"/>
      <c r="AS834" s="436"/>
      <c r="AT834" s="436"/>
      <c r="AU834" s="436"/>
      <c r="AV834" s="436"/>
      <c r="AW834" s="436"/>
      <c r="AX834" s="436"/>
      <c r="AY834" s="436"/>
      <c r="AZ834" s="436"/>
      <c r="BA834" s="436"/>
      <c r="BB834" s="436"/>
      <c r="BC834" s="436"/>
      <c r="BD834" s="436"/>
      <c r="BE834" s="436"/>
      <c r="BF834" s="436"/>
      <c r="BG834" s="436"/>
      <c r="BH834" s="436"/>
      <c r="BI834" s="436"/>
      <c r="BJ834" s="436"/>
      <c r="BK834" s="436"/>
      <c r="BL834" s="436"/>
      <c r="BM834" s="436"/>
      <c r="BN834" s="436"/>
      <c r="BO834" s="339"/>
      <c r="BP834" s="436"/>
      <c r="BQ834" s="436"/>
      <c r="BR834" s="436"/>
      <c r="BS834" s="436"/>
      <c r="BT834" s="436"/>
      <c r="BU834" s="436"/>
      <c r="BV834" s="436"/>
      <c r="BW834" s="436"/>
      <c r="BX834" s="1"/>
      <c r="BY834" s="1"/>
      <c r="BZ834" s="1"/>
      <c r="CA834" s="1"/>
      <c r="CB834" s="1"/>
      <c r="CC834" s="1"/>
      <c r="CD834" s="1"/>
      <c r="CE834" s="1"/>
      <c r="CF834" s="1"/>
      <c r="CG834" s="1"/>
    </row>
    <row r="835" spans="1:85" ht="15.75" customHeight="1">
      <c r="A835" s="500"/>
      <c r="B835" s="216"/>
      <c r="C835" s="527"/>
      <c r="D835" s="216"/>
      <c r="E835" s="503"/>
      <c r="F835" s="436"/>
      <c r="G835" s="436"/>
      <c r="H835" s="503"/>
      <c r="I835" s="504"/>
      <c r="J835" s="504"/>
      <c r="K835" s="503"/>
      <c r="L835" s="505"/>
      <c r="M835" s="436"/>
      <c r="N835" s="503"/>
      <c r="O835" s="436"/>
      <c r="P835" s="436"/>
      <c r="Q835" s="436"/>
      <c r="R835" s="436"/>
      <c r="S835" s="436"/>
      <c r="T835" s="436"/>
      <c r="U835" s="503"/>
      <c r="V835" s="503"/>
      <c r="W835" s="503"/>
      <c r="X835" s="506"/>
      <c r="Y835" s="506"/>
      <c r="Z835" s="506"/>
      <c r="AA835" s="436"/>
      <c r="AB835" s="436"/>
      <c r="AC835" s="436"/>
      <c r="AD835" s="436"/>
      <c r="AE835" s="508"/>
      <c r="AF835" s="508"/>
      <c r="AG835" s="508"/>
      <c r="AH835" s="508"/>
      <c r="AI835" s="436"/>
      <c r="AJ835" s="436"/>
      <c r="AK835" s="436"/>
      <c r="AL835" s="436"/>
      <c r="AM835" s="436"/>
      <c r="AN835" s="436"/>
      <c r="AO835" s="436"/>
      <c r="AP835" s="436"/>
      <c r="AQ835" s="436"/>
      <c r="AR835" s="436"/>
      <c r="AS835" s="436"/>
      <c r="AT835" s="436"/>
      <c r="AU835" s="436"/>
      <c r="AV835" s="436"/>
      <c r="AW835" s="436"/>
      <c r="AX835" s="436"/>
      <c r="AY835" s="436"/>
      <c r="AZ835" s="436"/>
      <c r="BA835" s="436"/>
      <c r="BB835" s="436"/>
      <c r="BC835" s="436"/>
      <c r="BD835" s="436"/>
      <c r="BE835" s="436"/>
      <c r="BF835" s="436"/>
      <c r="BG835" s="436"/>
      <c r="BH835" s="436"/>
      <c r="BI835" s="436"/>
      <c r="BJ835" s="436"/>
      <c r="BK835" s="436"/>
      <c r="BL835" s="436"/>
      <c r="BM835" s="436"/>
      <c r="BN835" s="436"/>
      <c r="BO835" s="339"/>
      <c r="BP835" s="436"/>
      <c r="BQ835" s="436"/>
      <c r="BR835" s="436"/>
      <c r="BS835" s="436"/>
      <c r="BT835" s="436"/>
      <c r="BU835" s="436"/>
      <c r="BV835" s="436"/>
      <c r="BW835" s="436"/>
      <c r="BX835" s="1"/>
      <c r="BY835" s="1"/>
      <c r="BZ835" s="1"/>
      <c r="CA835" s="1"/>
      <c r="CB835" s="1"/>
      <c r="CC835" s="1"/>
      <c r="CD835" s="1"/>
      <c r="CE835" s="1"/>
      <c r="CF835" s="1"/>
      <c r="CG835" s="1"/>
    </row>
    <row r="836" spans="1:85" ht="15.75" customHeight="1">
      <c r="A836" s="500"/>
      <c r="B836" s="216"/>
      <c r="C836" s="527"/>
      <c r="D836" s="216"/>
      <c r="E836" s="503"/>
      <c r="F836" s="436"/>
      <c r="G836" s="436"/>
      <c r="H836" s="503"/>
      <c r="I836" s="504"/>
      <c r="J836" s="504"/>
      <c r="K836" s="503"/>
      <c r="L836" s="505"/>
      <c r="M836" s="436"/>
      <c r="N836" s="503"/>
      <c r="O836" s="436"/>
      <c r="P836" s="436"/>
      <c r="Q836" s="436"/>
      <c r="R836" s="436"/>
      <c r="S836" s="436"/>
      <c r="T836" s="436"/>
      <c r="U836" s="503"/>
      <c r="V836" s="503"/>
      <c r="W836" s="503"/>
      <c r="X836" s="506"/>
      <c r="Y836" s="506"/>
      <c r="Z836" s="506"/>
      <c r="AA836" s="436"/>
      <c r="AB836" s="436"/>
      <c r="AC836" s="436"/>
      <c r="AD836" s="436"/>
      <c r="AE836" s="508"/>
      <c r="AF836" s="508"/>
      <c r="AG836" s="508"/>
      <c r="AH836" s="508"/>
      <c r="AI836" s="436"/>
      <c r="AJ836" s="436"/>
      <c r="AK836" s="436"/>
      <c r="AL836" s="436"/>
      <c r="AM836" s="436"/>
      <c r="AN836" s="436"/>
      <c r="AO836" s="436"/>
      <c r="AP836" s="436"/>
      <c r="AQ836" s="436"/>
      <c r="AR836" s="436"/>
      <c r="AS836" s="436"/>
      <c r="AT836" s="436"/>
      <c r="AU836" s="436"/>
      <c r="AV836" s="436"/>
      <c r="AW836" s="436"/>
      <c r="AX836" s="436"/>
      <c r="AY836" s="436"/>
      <c r="AZ836" s="436"/>
      <c r="BA836" s="436"/>
      <c r="BB836" s="436"/>
      <c r="BC836" s="436"/>
      <c r="BD836" s="436"/>
      <c r="BE836" s="436"/>
      <c r="BF836" s="436"/>
      <c r="BG836" s="436"/>
      <c r="BH836" s="436"/>
      <c r="BI836" s="436"/>
      <c r="BJ836" s="436"/>
      <c r="BK836" s="436"/>
      <c r="BL836" s="436"/>
      <c r="BM836" s="436"/>
      <c r="BN836" s="436"/>
      <c r="BO836" s="339"/>
      <c r="BP836" s="436"/>
      <c r="BQ836" s="436"/>
      <c r="BR836" s="436"/>
      <c r="BS836" s="436"/>
      <c r="BT836" s="436"/>
      <c r="BU836" s="436"/>
      <c r="BV836" s="436"/>
      <c r="BW836" s="436"/>
      <c r="BX836" s="1"/>
      <c r="BY836" s="1"/>
      <c r="BZ836" s="1"/>
      <c r="CA836" s="1"/>
      <c r="CB836" s="1"/>
      <c r="CC836" s="1"/>
      <c r="CD836" s="1"/>
      <c r="CE836" s="1"/>
      <c r="CF836" s="1"/>
      <c r="CG836" s="1"/>
    </row>
    <row r="837" spans="1:85" ht="15.75" customHeight="1">
      <c r="A837" s="500"/>
      <c r="B837" s="216"/>
      <c r="C837" s="527"/>
      <c r="D837" s="216"/>
      <c r="E837" s="503"/>
      <c r="F837" s="436"/>
      <c r="G837" s="436"/>
      <c r="H837" s="503"/>
      <c r="I837" s="504"/>
      <c r="J837" s="504"/>
      <c r="K837" s="503"/>
      <c r="L837" s="505"/>
      <c r="M837" s="436"/>
      <c r="N837" s="503"/>
      <c r="O837" s="436"/>
      <c r="P837" s="436"/>
      <c r="Q837" s="436"/>
      <c r="R837" s="436"/>
      <c r="S837" s="436"/>
      <c r="T837" s="436"/>
      <c r="U837" s="503"/>
      <c r="V837" s="503"/>
      <c r="W837" s="503"/>
      <c r="X837" s="506"/>
      <c r="Y837" s="506"/>
      <c r="Z837" s="506"/>
      <c r="AA837" s="436"/>
      <c r="AB837" s="436"/>
      <c r="AC837" s="436"/>
      <c r="AD837" s="436"/>
      <c r="AE837" s="508"/>
      <c r="AF837" s="508"/>
      <c r="AG837" s="508"/>
      <c r="AH837" s="508"/>
      <c r="AI837" s="436"/>
      <c r="AJ837" s="436"/>
      <c r="AK837" s="436"/>
      <c r="AL837" s="436"/>
      <c r="AM837" s="436"/>
      <c r="AN837" s="436"/>
      <c r="AO837" s="436"/>
      <c r="AP837" s="436"/>
      <c r="AQ837" s="436"/>
      <c r="AR837" s="436"/>
      <c r="AS837" s="436"/>
      <c r="AT837" s="436"/>
      <c r="AU837" s="436"/>
      <c r="AV837" s="436"/>
      <c r="AW837" s="436"/>
      <c r="AX837" s="436"/>
      <c r="AY837" s="436"/>
      <c r="AZ837" s="436"/>
      <c r="BA837" s="436"/>
      <c r="BB837" s="436"/>
      <c r="BC837" s="436"/>
      <c r="BD837" s="436"/>
      <c r="BE837" s="436"/>
      <c r="BF837" s="436"/>
      <c r="BG837" s="436"/>
      <c r="BH837" s="436"/>
      <c r="BI837" s="436"/>
      <c r="BJ837" s="436"/>
      <c r="BK837" s="436"/>
      <c r="BL837" s="436"/>
      <c r="BM837" s="436"/>
      <c r="BN837" s="436"/>
      <c r="BO837" s="339"/>
      <c r="BP837" s="436"/>
      <c r="BQ837" s="436"/>
      <c r="BR837" s="436"/>
      <c r="BS837" s="436"/>
      <c r="BT837" s="436"/>
      <c r="BU837" s="436"/>
      <c r="BV837" s="436"/>
      <c r="BW837" s="436"/>
      <c r="BX837" s="1"/>
      <c r="BY837" s="1"/>
      <c r="BZ837" s="1"/>
      <c r="CA837" s="1"/>
      <c r="CB837" s="1"/>
      <c r="CC837" s="1"/>
      <c r="CD837" s="1"/>
      <c r="CE837" s="1"/>
      <c r="CF837" s="1"/>
      <c r="CG837" s="1"/>
    </row>
    <row r="838" spans="1:85" ht="15.75" customHeight="1">
      <c r="A838" s="500"/>
      <c r="B838" s="216"/>
      <c r="C838" s="527"/>
      <c r="D838" s="216"/>
      <c r="E838" s="503"/>
      <c r="F838" s="436"/>
      <c r="G838" s="436"/>
      <c r="H838" s="503"/>
      <c r="I838" s="504"/>
      <c r="J838" s="504"/>
      <c r="K838" s="503"/>
      <c r="L838" s="505"/>
      <c r="M838" s="436"/>
      <c r="N838" s="503"/>
      <c r="O838" s="436"/>
      <c r="P838" s="436"/>
      <c r="Q838" s="436"/>
      <c r="R838" s="436"/>
      <c r="S838" s="436"/>
      <c r="T838" s="436"/>
      <c r="U838" s="503"/>
      <c r="V838" s="503"/>
      <c r="W838" s="503"/>
      <c r="X838" s="506"/>
      <c r="Y838" s="506"/>
      <c r="Z838" s="506"/>
      <c r="AA838" s="436"/>
      <c r="AB838" s="436"/>
      <c r="AC838" s="436"/>
      <c r="AD838" s="436"/>
      <c r="AE838" s="508"/>
      <c r="AF838" s="508"/>
      <c r="AG838" s="508"/>
      <c r="AH838" s="508"/>
      <c r="AI838" s="436"/>
      <c r="AJ838" s="436"/>
      <c r="AK838" s="436"/>
      <c r="AL838" s="436"/>
      <c r="AM838" s="436"/>
      <c r="AN838" s="436"/>
      <c r="AO838" s="436"/>
      <c r="AP838" s="436"/>
      <c r="AQ838" s="436"/>
      <c r="AR838" s="436"/>
      <c r="AS838" s="436"/>
      <c r="AT838" s="436"/>
      <c r="AU838" s="436"/>
      <c r="AV838" s="436"/>
      <c r="AW838" s="436"/>
      <c r="AX838" s="436"/>
      <c r="AY838" s="436"/>
      <c r="AZ838" s="436"/>
      <c r="BA838" s="436"/>
      <c r="BB838" s="436"/>
      <c r="BC838" s="436"/>
      <c r="BD838" s="436"/>
      <c r="BE838" s="436"/>
      <c r="BF838" s="436"/>
      <c r="BG838" s="436"/>
      <c r="BH838" s="436"/>
      <c r="BI838" s="436"/>
      <c r="BJ838" s="436"/>
      <c r="BK838" s="436"/>
      <c r="BL838" s="436"/>
      <c r="BM838" s="436"/>
      <c r="BN838" s="436"/>
      <c r="BO838" s="339"/>
      <c r="BP838" s="436"/>
      <c r="BQ838" s="436"/>
      <c r="BR838" s="436"/>
      <c r="BS838" s="436"/>
      <c r="BT838" s="436"/>
      <c r="BU838" s="436"/>
      <c r="BV838" s="436"/>
      <c r="BW838" s="436"/>
      <c r="BX838" s="1"/>
      <c r="BY838" s="1"/>
      <c r="BZ838" s="1"/>
      <c r="CA838" s="1"/>
      <c r="CB838" s="1"/>
      <c r="CC838" s="1"/>
      <c r="CD838" s="1"/>
      <c r="CE838" s="1"/>
      <c r="CF838" s="1"/>
      <c r="CG838" s="1"/>
    </row>
    <row r="839" spans="1:85" ht="15.75" customHeight="1">
      <c r="A839" s="500"/>
      <c r="B839" s="216"/>
      <c r="C839" s="527"/>
      <c r="D839" s="216"/>
      <c r="E839" s="503"/>
      <c r="F839" s="436"/>
      <c r="G839" s="436"/>
      <c r="H839" s="503"/>
      <c r="I839" s="504"/>
      <c r="J839" s="504"/>
      <c r="K839" s="503"/>
      <c r="L839" s="505"/>
      <c r="M839" s="436"/>
      <c r="N839" s="503"/>
      <c r="O839" s="436"/>
      <c r="P839" s="436"/>
      <c r="Q839" s="436"/>
      <c r="R839" s="436"/>
      <c r="S839" s="436"/>
      <c r="T839" s="436"/>
      <c r="U839" s="503"/>
      <c r="V839" s="503"/>
      <c r="W839" s="503"/>
      <c r="X839" s="506"/>
      <c r="Y839" s="506"/>
      <c r="Z839" s="506"/>
      <c r="AA839" s="436"/>
      <c r="AB839" s="436"/>
      <c r="AC839" s="436"/>
      <c r="AD839" s="436"/>
      <c r="AE839" s="508"/>
      <c r="AF839" s="508"/>
      <c r="AG839" s="508"/>
      <c r="AH839" s="508"/>
      <c r="AI839" s="436"/>
      <c r="AJ839" s="436"/>
      <c r="AK839" s="436"/>
      <c r="AL839" s="436"/>
      <c r="AM839" s="436"/>
      <c r="AN839" s="436"/>
      <c r="AO839" s="436"/>
      <c r="AP839" s="436"/>
      <c r="AQ839" s="436"/>
      <c r="AR839" s="436"/>
      <c r="AS839" s="436"/>
      <c r="AT839" s="436"/>
      <c r="AU839" s="436"/>
      <c r="AV839" s="436"/>
      <c r="AW839" s="436"/>
      <c r="AX839" s="436"/>
      <c r="AY839" s="436"/>
      <c r="AZ839" s="436"/>
      <c r="BA839" s="436"/>
      <c r="BB839" s="436"/>
      <c r="BC839" s="436"/>
      <c r="BD839" s="436"/>
      <c r="BE839" s="436"/>
      <c r="BF839" s="436"/>
      <c r="BG839" s="436"/>
      <c r="BH839" s="436"/>
      <c r="BI839" s="436"/>
      <c r="BJ839" s="436"/>
      <c r="BK839" s="436"/>
      <c r="BL839" s="436"/>
      <c r="BM839" s="436"/>
      <c r="BN839" s="436"/>
      <c r="BO839" s="339"/>
      <c r="BP839" s="436"/>
      <c r="BQ839" s="436"/>
      <c r="BR839" s="436"/>
      <c r="BS839" s="436"/>
      <c r="BT839" s="436"/>
      <c r="BU839" s="436"/>
      <c r="BV839" s="436"/>
      <c r="BW839" s="436"/>
      <c r="BX839" s="1"/>
      <c r="BY839" s="1"/>
      <c r="BZ839" s="1"/>
      <c r="CA839" s="1"/>
      <c r="CB839" s="1"/>
      <c r="CC839" s="1"/>
      <c r="CD839" s="1"/>
      <c r="CE839" s="1"/>
      <c r="CF839" s="1"/>
      <c r="CG839" s="1"/>
    </row>
    <row r="840" spans="1:85" ht="15.75" customHeight="1">
      <c r="A840" s="500"/>
      <c r="B840" s="216"/>
      <c r="C840" s="527"/>
      <c r="D840" s="216"/>
      <c r="E840" s="503"/>
      <c r="F840" s="436"/>
      <c r="G840" s="436"/>
      <c r="H840" s="503"/>
      <c r="I840" s="504"/>
      <c r="J840" s="504"/>
      <c r="K840" s="503"/>
      <c r="L840" s="505"/>
      <c r="M840" s="436"/>
      <c r="N840" s="503"/>
      <c r="O840" s="436"/>
      <c r="P840" s="436"/>
      <c r="Q840" s="436"/>
      <c r="R840" s="436"/>
      <c r="S840" s="436"/>
      <c r="T840" s="436"/>
      <c r="U840" s="503"/>
      <c r="V840" s="503"/>
      <c r="W840" s="503"/>
      <c r="X840" s="506"/>
      <c r="Y840" s="506"/>
      <c r="Z840" s="506"/>
      <c r="AA840" s="436"/>
      <c r="AB840" s="436"/>
      <c r="AC840" s="436"/>
      <c r="AD840" s="436"/>
      <c r="AE840" s="508"/>
      <c r="AF840" s="508"/>
      <c r="AG840" s="508"/>
      <c r="AH840" s="508"/>
      <c r="AI840" s="436"/>
      <c r="AJ840" s="436"/>
      <c r="AK840" s="436"/>
      <c r="AL840" s="436"/>
      <c r="AM840" s="436"/>
      <c r="AN840" s="436"/>
      <c r="AO840" s="436"/>
      <c r="AP840" s="436"/>
      <c r="AQ840" s="436"/>
      <c r="AR840" s="436"/>
      <c r="AS840" s="436"/>
      <c r="AT840" s="436"/>
      <c r="AU840" s="436"/>
      <c r="AV840" s="436"/>
      <c r="AW840" s="436"/>
      <c r="AX840" s="436"/>
      <c r="AY840" s="436"/>
      <c r="AZ840" s="436"/>
      <c r="BA840" s="436"/>
      <c r="BB840" s="436"/>
      <c r="BC840" s="436"/>
      <c r="BD840" s="436"/>
      <c r="BE840" s="436"/>
      <c r="BF840" s="436"/>
      <c r="BG840" s="436"/>
      <c r="BH840" s="436"/>
      <c r="BI840" s="436"/>
      <c r="BJ840" s="436"/>
      <c r="BK840" s="436"/>
      <c r="BL840" s="436"/>
      <c r="BM840" s="436"/>
      <c r="BN840" s="436"/>
      <c r="BO840" s="339"/>
      <c r="BP840" s="436"/>
      <c r="BQ840" s="436"/>
      <c r="BR840" s="436"/>
      <c r="BS840" s="436"/>
      <c r="BT840" s="436"/>
      <c r="BU840" s="436"/>
      <c r="BV840" s="436"/>
      <c r="BW840" s="436"/>
      <c r="BX840" s="1"/>
      <c r="BY840" s="1"/>
      <c r="BZ840" s="1"/>
      <c r="CA840" s="1"/>
      <c r="CB840" s="1"/>
      <c r="CC840" s="1"/>
      <c r="CD840" s="1"/>
      <c r="CE840" s="1"/>
      <c r="CF840" s="1"/>
      <c r="CG840" s="1"/>
    </row>
    <row r="841" spans="1:85" ht="15.75" customHeight="1">
      <c r="A841" s="500"/>
      <c r="B841" s="216"/>
      <c r="C841" s="527"/>
      <c r="D841" s="216"/>
      <c r="E841" s="503"/>
      <c r="F841" s="436"/>
      <c r="G841" s="436"/>
      <c r="H841" s="503"/>
      <c r="I841" s="504"/>
      <c r="J841" s="504"/>
      <c r="K841" s="503"/>
      <c r="L841" s="505"/>
      <c r="M841" s="436"/>
      <c r="N841" s="503"/>
      <c r="O841" s="436"/>
      <c r="P841" s="436"/>
      <c r="Q841" s="436"/>
      <c r="R841" s="436"/>
      <c r="S841" s="436"/>
      <c r="T841" s="436"/>
      <c r="U841" s="503"/>
      <c r="V841" s="503"/>
      <c r="W841" s="503"/>
      <c r="X841" s="506"/>
      <c r="Y841" s="506"/>
      <c r="Z841" s="506"/>
      <c r="AA841" s="436"/>
      <c r="AB841" s="436"/>
      <c r="AC841" s="436"/>
      <c r="AD841" s="436"/>
      <c r="AE841" s="508"/>
      <c r="AF841" s="508"/>
      <c r="AG841" s="508"/>
      <c r="AH841" s="508"/>
      <c r="AI841" s="436"/>
      <c r="AJ841" s="436"/>
      <c r="AK841" s="436"/>
      <c r="AL841" s="436"/>
      <c r="AM841" s="436"/>
      <c r="AN841" s="436"/>
      <c r="AO841" s="436"/>
      <c r="AP841" s="436"/>
      <c r="AQ841" s="436"/>
      <c r="AR841" s="436"/>
      <c r="AS841" s="436"/>
      <c r="AT841" s="436"/>
      <c r="AU841" s="436"/>
      <c r="AV841" s="436"/>
      <c r="AW841" s="436"/>
      <c r="AX841" s="436"/>
      <c r="AY841" s="436"/>
      <c r="AZ841" s="436"/>
      <c r="BA841" s="436"/>
      <c r="BB841" s="436"/>
      <c r="BC841" s="436"/>
      <c r="BD841" s="436"/>
      <c r="BE841" s="436"/>
      <c r="BF841" s="436"/>
      <c r="BG841" s="436"/>
      <c r="BH841" s="436"/>
      <c r="BI841" s="436"/>
      <c r="BJ841" s="436"/>
      <c r="BK841" s="436"/>
      <c r="BL841" s="436"/>
      <c r="BM841" s="436"/>
      <c r="BN841" s="436"/>
      <c r="BO841" s="339"/>
      <c r="BP841" s="436"/>
      <c r="BQ841" s="436"/>
      <c r="BR841" s="436"/>
      <c r="BS841" s="436"/>
      <c r="BT841" s="436"/>
      <c r="BU841" s="436"/>
      <c r="BV841" s="436"/>
      <c r="BW841" s="436"/>
      <c r="BX841" s="1"/>
      <c r="BY841" s="1"/>
      <c r="BZ841" s="1"/>
      <c r="CA841" s="1"/>
      <c r="CB841" s="1"/>
      <c r="CC841" s="1"/>
      <c r="CD841" s="1"/>
      <c r="CE841" s="1"/>
      <c r="CF841" s="1"/>
      <c r="CG841" s="1"/>
    </row>
    <row r="842" spans="1:85" ht="15.75" customHeight="1">
      <c r="A842" s="500"/>
      <c r="B842" s="216"/>
      <c r="C842" s="527"/>
      <c r="D842" s="216"/>
      <c r="E842" s="503"/>
      <c r="F842" s="436"/>
      <c r="G842" s="436"/>
      <c r="H842" s="503"/>
      <c r="I842" s="504"/>
      <c r="J842" s="504"/>
      <c r="K842" s="503"/>
      <c r="L842" s="505"/>
      <c r="M842" s="436"/>
      <c r="N842" s="503"/>
      <c r="O842" s="436"/>
      <c r="P842" s="436"/>
      <c r="Q842" s="436"/>
      <c r="R842" s="436"/>
      <c r="S842" s="436"/>
      <c r="T842" s="436"/>
      <c r="U842" s="503"/>
      <c r="V842" s="503"/>
      <c r="W842" s="503"/>
      <c r="X842" s="506"/>
      <c r="Y842" s="506"/>
      <c r="Z842" s="506"/>
      <c r="AA842" s="436"/>
      <c r="AB842" s="436"/>
      <c r="AC842" s="436"/>
      <c r="AD842" s="436"/>
      <c r="AE842" s="508"/>
      <c r="AF842" s="508"/>
      <c r="AG842" s="508"/>
      <c r="AH842" s="508"/>
      <c r="AI842" s="436"/>
      <c r="AJ842" s="436"/>
      <c r="AK842" s="436"/>
      <c r="AL842" s="436"/>
      <c r="AM842" s="436"/>
      <c r="AN842" s="436"/>
      <c r="AO842" s="436"/>
      <c r="AP842" s="436"/>
      <c r="AQ842" s="436"/>
      <c r="AR842" s="436"/>
      <c r="AS842" s="436"/>
      <c r="AT842" s="436"/>
      <c r="AU842" s="436"/>
      <c r="AV842" s="436"/>
      <c r="AW842" s="436"/>
      <c r="AX842" s="436"/>
      <c r="AY842" s="436"/>
      <c r="AZ842" s="436"/>
      <c r="BA842" s="436"/>
      <c r="BB842" s="436"/>
      <c r="BC842" s="436"/>
      <c r="BD842" s="436"/>
      <c r="BE842" s="436"/>
      <c r="BF842" s="436"/>
      <c r="BG842" s="436"/>
      <c r="BH842" s="436"/>
      <c r="BI842" s="436"/>
      <c r="BJ842" s="436"/>
      <c r="BK842" s="436"/>
      <c r="BL842" s="436"/>
      <c r="BM842" s="436"/>
      <c r="BN842" s="436"/>
      <c r="BO842" s="339"/>
      <c r="BP842" s="436"/>
      <c r="BQ842" s="436"/>
      <c r="BR842" s="436"/>
      <c r="BS842" s="436"/>
      <c r="BT842" s="436"/>
      <c r="BU842" s="436"/>
      <c r="BV842" s="436"/>
      <c r="BW842" s="436"/>
      <c r="BX842" s="1"/>
      <c r="BY842" s="1"/>
      <c r="BZ842" s="1"/>
      <c r="CA842" s="1"/>
      <c r="CB842" s="1"/>
      <c r="CC842" s="1"/>
      <c r="CD842" s="1"/>
      <c r="CE842" s="1"/>
      <c r="CF842" s="1"/>
      <c r="CG842" s="1"/>
    </row>
    <row r="843" spans="1:85" ht="15.75" customHeight="1">
      <c r="A843" s="500"/>
      <c r="B843" s="216"/>
      <c r="C843" s="527"/>
      <c r="D843" s="216"/>
      <c r="E843" s="503"/>
      <c r="F843" s="436"/>
      <c r="G843" s="436"/>
      <c r="H843" s="503"/>
      <c r="I843" s="504"/>
      <c r="J843" s="504"/>
      <c r="K843" s="503"/>
      <c r="L843" s="505"/>
      <c r="M843" s="436"/>
      <c r="N843" s="503"/>
      <c r="O843" s="436"/>
      <c r="P843" s="436"/>
      <c r="Q843" s="436"/>
      <c r="R843" s="436"/>
      <c r="S843" s="436"/>
      <c r="T843" s="436"/>
      <c r="U843" s="503"/>
      <c r="V843" s="503"/>
      <c r="W843" s="503"/>
      <c r="X843" s="506"/>
      <c r="Y843" s="506"/>
      <c r="Z843" s="506"/>
      <c r="AA843" s="436"/>
      <c r="AB843" s="436"/>
      <c r="AC843" s="436"/>
      <c r="AD843" s="436"/>
      <c r="AE843" s="508"/>
      <c r="AF843" s="508"/>
      <c r="AG843" s="508"/>
      <c r="AH843" s="508"/>
      <c r="AI843" s="436"/>
      <c r="AJ843" s="436"/>
      <c r="AK843" s="436"/>
      <c r="AL843" s="436"/>
      <c r="AM843" s="436"/>
      <c r="AN843" s="436"/>
      <c r="AO843" s="436"/>
      <c r="AP843" s="436"/>
      <c r="AQ843" s="436"/>
      <c r="AR843" s="436"/>
      <c r="AS843" s="436"/>
      <c r="AT843" s="436"/>
      <c r="AU843" s="436"/>
      <c r="AV843" s="436"/>
      <c r="AW843" s="436"/>
      <c r="AX843" s="436"/>
      <c r="AY843" s="436"/>
      <c r="AZ843" s="436"/>
      <c r="BA843" s="436"/>
      <c r="BB843" s="436"/>
      <c r="BC843" s="436"/>
      <c r="BD843" s="436"/>
      <c r="BE843" s="436"/>
      <c r="BF843" s="436"/>
      <c r="BG843" s="436"/>
      <c r="BH843" s="436"/>
      <c r="BI843" s="436"/>
      <c r="BJ843" s="436"/>
      <c r="BK843" s="436"/>
      <c r="BL843" s="436"/>
      <c r="BM843" s="436"/>
      <c r="BN843" s="436"/>
      <c r="BO843" s="339"/>
      <c r="BP843" s="436"/>
      <c r="BQ843" s="436"/>
      <c r="BR843" s="436"/>
      <c r="BS843" s="436"/>
      <c r="BT843" s="436"/>
      <c r="BU843" s="436"/>
      <c r="BV843" s="436"/>
      <c r="BW843" s="436"/>
      <c r="BX843" s="1"/>
      <c r="BY843" s="1"/>
      <c r="BZ843" s="1"/>
      <c r="CA843" s="1"/>
      <c r="CB843" s="1"/>
      <c r="CC843" s="1"/>
      <c r="CD843" s="1"/>
      <c r="CE843" s="1"/>
      <c r="CF843" s="1"/>
      <c r="CG843" s="1"/>
    </row>
    <row r="844" spans="1:85" ht="15.75" customHeight="1">
      <c r="A844" s="500"/>
      <c r="B844" s="216"/>
      <c r="C844" s="527"/>
      <c r="D844" s="216"/>
      <c r="E844" s="503"/>
      <c r="F844" s="436"/>
      <c r="G844" s="436"/>
      <c r="H844" s="503"/>
      <c r="I844" s="504"/>
      <c r="J844" s="504"/>
      <c r="K844" s="503"/>
      <c r="L844" s="505"/>
      <c r="M844" s="436"/>
      <c r="N844" s="503"/>
      <c r="O844" s="436"/>
      <c r="P844" s="436"/>
      <c r="Q844" s="436"/>
      <c r="R844" s="436"/>
      <c r="S844" s="436"/>
      <c r="T844" s="436"/>
      <c r="U844" s="503"/>
      <c r="V844" s="503"/>
      <c r="W844" s="503"/>
      <c r="X844" s="506"/>
      <c r="Y844" s="506"/>
      <c r="Z844" s="506"/>
      <c r="AA844" s="436"/>
      <c r="AB844" s="436"/>
      <c r="AC844" s="436"/>
      <c r="AD844" s="436"/>
      <c r="AE844" s="508"/>
      <c r="AF844" s="508"/>
      <c r="AG844" s="508"/>
      <c r="AH844" s="508"/>
      <c r="AI844" s="436"/>
      <c r="AJ844" s="436"/>
      <c r="AK844" s="436"/>
      <c r="AL844" s="436"/>
      <c r="AM844" s="436"/>
      <c r="AN844" s="436"/>
      <c r="AO844" s="436"/>
      <c r="AP844" s="436"/>
      <c r="AQ844" s="436"/>
      <c r="AR844" s="436"/>
      <c r="AS844" s="436"/>
      <c r="AT844" s="436"/>
      <c r="AU844" s="436"/>
      <c r="AV844" s="436"/>
      <c r="AW844" s="436"/>
      <c r="AX844" s="436"/>
      <c r="AY844" s="436"/>
      <c r="AZ844" s="436"/>
      <c r="BA844" s="436"/>
      <c r="BB844" s="436"/>
      <c r="BC844" s="436"/>
      <c r="BD844" s="436"/>
      <c r="BE844" s="436"/>
      <c r="BF844" s="436"/>
      <c r="BG844" s="436"/>
      <c r="BH844" s="436"/>
      <c r="BI844" s="436"/>
      <c r="BJ844" s="436"/>
      <c r="BK844" s="436"/>
      <c r="BL844" s="436"/>
      <c r="BM844" s="436"/>
      <c r="BN844" s="436"/>
      <c r="BO844" s="339"/>
      <c r="BP844" s="436"/>
      <c r="BQ844" s="436"/>
      <c r="BR844" s="436"/>
      <c r="BS844" s="436"/>
      <c r="BT844" s="436"/>
      <c r="BU844" s="436"/>
      <c r="BV844" s="436"/>
      <c r="BW844" s="436"/>
      <c r="BX844" s="1"/>
      <c r="BY844" s="1"/>
      <c r="BZ844" s="1"/>
      <c r="CA844" s="1"/>
      <c r="CB844" s="1"/>
      <c r="CC844" s="1"/>
      <c r="CD844" s="1"/>
      <c r="CE844" s="1"/>
      <c r="CF844" s="1"/>
      <c r="CG844" s="1"/>
    </row>
    <row r="845" spans="1:85" ht="15.75" customHeight="1">
      <c r="A845" s="500"/>
      <c r="B845" s="216"/>
      <c r="C845" s="527"/>
      <c r="D845" s="216"/>
      <c r="E845" s="503"/>
      <c r="F845" s="436"/>
      <c r="G845" s="436"/>
      <c r="H845" s="503"/>
      <c r="I845" s="504"/>
      <c r="J845" s="504"/>
      <c r="K845" s="503"/>
      <c r="L845" s="505"/>
      <c r="M845" s="436"/>
      <c r="N845" s="503"/>
      <c r="O845" s="436"/>
      <c r="P845" s="436"/>
      <c r="Q845" s="436"/>
      <c r="R845" s="436"/>
      <c r="S845" s="436"/>
      <c r="T845" s="436"/>
      <c r="U845" s="503"/>
      <c r="V845" s="503"/>
      <c r="W845" s="503"/>
      <c r="X845" s="506"/>
      <c r="Y845" s="506"/>
      <c r="Z845" s="506"/>
      <c r="AA845" s="436"/>
      <c r="AB845" s="436"/>
      <c r="AC845" s="436"/>
      <c r="AD845" s="436"/>
      <c r="AE845" s="508"/>
      <c r="AF845" s="508"/>
      <c r="AG845" s="508"/>
      <c r="AH845" s="508"/>
      <c r="AI845" s="436"/>
      <c r="AJ845" s="436"/>
      <c r="AK845" s="436"/>
      <c r="AL845" s="436"/>
      <c r="AM845" s="436"/>
      <c r="AN845" s="436"/>
      <c r="AO845" s="436"/>
      <c r="AP845" s="436"/>
      <c r="AQ845" s="436"/>
      <c r="AR845" s="436"/>
      <c r="AS845" s="436"/>
      <c r="AT845" s="436"/>
      <c r="AU845" s="436"/>
      <c r="AV845" s="436"/>
      <c r="AW845" s="436"/>
      <c r="AX845" s="436"/>
      <c r="AY845" s="436"/>
      <c r="AZ845" s="436"/>
      <c r="BA845" s="436"/>
      <c r="BB845" s="436"/>
      <c r="BC845" s="436"/>
      <c r="BD845" s="436"/>
      <c r="BE845" s="436"/>
      <c r="BF845" s="436"/>
      <c r="BG845" s="436"/>
      <c r="BH845" s="436"/>
      <c r="BI845" s="436"/>
      <c r="BJ845" s="436"/>
      <c r="BK845" s="436"/>
      <c r="BL845" s="436"/>
      <c r="BM845" s="436"/>
      <c r="BN845" s="436"/>
      <c r="BO845" s="339"/>
      <c r="BP845" s="436"/>
      <c r="BQ845" s="436"/>
      <c r="BR845" s="436"/>
      <c r="BS845" s="436"/>
      <c r="BT845" s="436"/>
      <c r="BU845" s="436"/>
      <c r="BV845" s="436"/>
      <c r="BW845" s="436"/>
      <c r="BX845" s="1"/>
      <c r="BY845" s="1"/>
      <c r="BZ845" s="1"/>
      <c r="CA845" s="1"/>
      <c r="CB845" s="1"/>
      <c r="CC845" s="1"/>
      <c r="CD845" s="1"/>
      <c r="CE845" s="1"/>
      <c r="CF845" s="1"/>
      <c r="CG845" s="1"/>
    </row>
    <row r="846" spans="1:85" ht="15.75" customHeight="1">
      <c r="A846" s="500"/>
      <c r="B846" s="216"/>
      <c r="C846" s="527"/>
      <c r="D846" s="216"/>
      <c r="E846" s="503"/>
      <c r="F846" s="436"/>
      <c r="G846" s="436"/>
      <c r="H846" s="503"/>
      <c r="I846" s="504"/>
      <c r="J846" s="504"/>
      <c r="K846" s="503"/>
      <c r="L846" s="505"/>
      <c r="M846" s="436"/>
      <c r="N846" s="503"/>
      <c r="O846" s="436"/>
      <c r="P846" s="436"/>
      <c r="Q846" s="436"/>
      <c r="R846" s="436"/>
      <c r="S846" s="436"/>
      <c r="T846" s="436"/>
      <c r="U846" s="503"/>
      <c r="V846" s="503"/>
      <c r="W846" s="503"/>
      <c r="X846" s="506"/>
      <c r="Y846" s="506"/>
      <c r="Z846" s="506"/>
      <c r="AA846" s="436"/>
      <c r="AB846" s="436"/>
      <c r="AC846" s="436"/>
      <c r="AD846" s="436"/>
      <c r="AE846" s="508"/>
      <c r="AF846" s="508"/>
      <c r="AG846" s="508"/>
      <c r="AH846" s="508"/>
      <c r="AI846" s="436"/>
      <c r="AJ846" s="436"/>
      <c r="AK846" s="436"/>
      <c r="AL846" s="436"/>
      <c r="AM846" s="436"/>
      <c r="AN846" s="436"/>
      <c r="AO846" s="436"/>
      <c r="AP846" s="436"/>
      <c r="AQ846" s="436"/>
      <c r="AR846" s="436"/>
      <c r="AS846" s="436"/>
      <c r="AT846" s="436"/>
      <c r="AU846" s="436"/>
      <c r="AV846" s="436"/>
      <c r="AW846" s="436"/>
      <c r="AX846" s="436"/>
      <c r="AY846" s="436"/>
      <c r="AZ846" s="436"/>
      <c r="BA846" s="436"/>
      <c r="BB846" s="436"/>
      <c r="BC846" s="436"/>
      <c r="BD846" s="436"/>
      <c r="BE846" s="436"/>
      <c r="BF846" s="436"/>
      <c r="BG846" s="436"/>
      <c r="BH846" s="436"/>
      <c r="BI846" s="436"/>
      <c r="BJ846" s="436"/>
      <c r="BK846" s="436"/>
      <c r="BL846" s="436"/>
      <c r="BM846" s="436"/>
      <c r="BN846" s="436"/>
      <c r="BO846" s="339"/>
      <c r="BP846" s="436"/>
      <c r="BQ846" s="436"/>
      <c r="BR846" s="436"/>
      <c r="BS846" s="436"/>
      <c r="BT846" s="436"/>
      <c r="BU846" s="436"/>
      <c r="BV846" s="436"/>
      <c r="BW846" s="436"/>
      <c r="BX846" s="1"/>
      <c r="BY846" s="1"/>
      <c r="BZ846" s="1"/>
      <c r="CA846" s="1"/>
      <c r="CB846" s="1"/>
      <c r="CC846" s="1"/>
      <c r="CD846" s="1"/>
      <c r="CE846" s="1"/>
      <c r="CF846" s="1"/>
      <c r="CG846" s="1"/>
    </row>
    <row r="847" spans="1:85" ht="15.75" customHeight="1">
      <c r="A847" s="500"/>
      <c r="B847" s="216"/>
      <c r="C847" s="527"/>
      <c r="D847" s="216"/>
      <c r="E847" s="503"/>
      <c r="F847" s="436"/>
      <c r="G847" s="436"/>
      <c r="H847" s="503"/>
      <c r="I847" s="504"/>
      <c r="J847" s="504"/>
      <c r="K847" s="503"/>
      <c r="L847" s="505"/>
      <c r="M847" s="436"/>
      <c r="N847" s="503"/>
      <c r="O847" s="436"/>
      <c r="P847" s="436"/>
      <c r="Q847" s="436"/>
      <c r="R847" s="436"/>
      <c r="S847" s="436"/>
      <c r="T847" s="436"/>
      <c r="U847" s="503"/>
      <c r="V847" s="503"/>
      <c r="W847" s="503"/>
      <c r="X847" s="506"/>
      <c r="Y847" s="506"/>
      <c r="Z847" s="506"/>
      <c r="AA847" s="436"/>
      <c r="AB847" s="436"/>
      <c r="AC847" s="436"/>
      <c r="AD847" s="436"/>
      <c r="AE847" s="508"/>
      <c r="AF847" s="508"/>
      <c r="AG847" s="508"/>
      <c r="AH847" s="508"/>
      <c r="AI847" s="436"/>
      <c r="AJ847" s="436"/>
      <c r="AK847" s="436"/>
      <c r="AL847" s="436"/>
      <c r="AM847" s="436"/>
      <c r="AN847" s="436"/>
      <c r="AO847" s="436"/>
      <c r="AP847" s="436"/>
      <c r="AQ847" s="436"/>
      <c r="AR847" s="436"/>
      <c r="AS847" s="436"/>
      <c r="AT847" s="436"/>
      <c r="AU847" s="436"/>
      <c r="AV847" s="436"/>
      <c r="AW847" s="436"/>
      <c r="AX847" s="436"/>
      <c r="AY847" s="436"/>
      <c r="AZ847" s="436"/>
      <c r="BA847" s="436"/>
      <c r="BB847" s="436"/>
      <c r="BC847" s="436"/>
      <c r="BD847" s="436"/>
      <c r="BE847" s="436"/>
      <c r="BF847" s="436"/>
      <c r="BG847" s="436"/>
      <c r="BH847" s="436"/>
      <c r="BI847" s="436"/>
      <c r="BJ847" s="436"/>
      <c r="BK847" s="436"/>
      <c r="BL847" s="436"/>
      <c r="BM847" s="436"/>
      <c r="BN847" s="436"/>
      <c r="BO847" s="339"/>
      <c r="BP847" s="436"/>
      <c r="BQ847" s="436"/>
      <c r="BR847" s="436"/>
      <c r="BS847" s="436"/>
      <c r="BT847" s="436"/>
      <c r="BU847" s="436"/>
      <c r="BV847" s="436"/>
      <c r="BW847" s="436"/>
      <c r="BX847" s="1"/>
      <c r="BY847" s="1"/>
      <c r="BZ847" s="1"/>
      <c r="CA847" s="1"/>
      <c r="CB847" s="1"/>
      <c r="CC847" s="1"/>
      <c r="CD847" s="1"/>
      <c r="CE847" s="1"/>
      <c r="CF847" s="1"/>
      <c r="CG847" s="1"/>
    </row>
    <row r="848" spans="1:85" ht="15.75" customHeight="1">
      <c r="A848" s="500"/>
      <c r="B848" s="216"/>
      <c r="C848" s="527"/>
      <c r="D848" s="216"/>
      <c r="E848" s="503"/>
      <c r="F848" s="436"/>
      <c r="G848" s="436"/>
      <c r="H848" s="503"/>
      <c r="I848" s="504"/>
      <c r="J848" s="504"/>
      <c r="K848" s="503"/>
      <c r="L848" s="505"/>
      <c r="M848" s="436"/>
      <c r="N848" s="503"/>
      <c r="O848" s="436"/>
      <c r="P848" s="436"/>
      <c r="Q848" s="436"/>
      <c r="R848" s="436"/>
      <c r="S848" s="436"/>
      <c r="T848" s="436"/>
      <c r="U848" s="503"/>
      <c r="V848" s="503"/>
      <c r="W848" s="503"/>
      <c r="X848" s="506"/>
      <c r="Y848" s="506"/>
      <c r="Z848" s="506"/>
      <c r="AA848" s="436"/>
      <c r="AB848" s="436"/>
      <c r="AC848" s="436"/>
      <c r="AD848" s="436"/>
      <c r="AE848" s="508"/>
      <c r="AF848" s="508"/>
      <c r="AG848" s="508"/>
      <c r="AH848" s="508"/>
      <c r="AI848" s="436"/>
      <c r="AJ848" s="436"/>
      <c r="AK848" s="436"/>
      <c r="AL848" s="436"/>
      <c r="AM848" s="436"/>
      <c r="AN848" s="436"/>
      <c r="AO848" s="436"/>
      <c r="AP848" s="436"/>
      <c r="AQ848" s="436"/>
      <c r="AR848" s="436"/>
      <c r="AS848" s="436"/>
      <c r="AT848" s="436"/>
      <c r="AU848" s="436"/>
      <c r="AV848" s="436"/>
      <c r="AW848" s="436"/>
      <c r="AX848" s="436"/>
      <c r="AY848" s="436"/>
      <c r="AZ848" s="436"/>
      <c r="BA848" s="436"/>
      <c r="BB848" s="436"/>
      <c r="BC848" s="436"/>
      <c r="BD848" s="436"/>
      <c r="BE848" s="436"/>
      <c r="BF848" s="436"/>
      <c r="BG848" s="436"/>
      <c r="BH848" s="436"/>
      <c r="BI848" s="436"/>
      <c r="BJ848" s="436"/>
      <c r="BK848" s="436"/>
      <c r="BL848" s="436"/>
      <c r="BM848" s="436"/>
      <c r="BN848" s="436"/>
      <c r="BO848" s="339"/>
      <c r="BP848" s="436"/>
      <c r="BQ848" s="436"/>
      <c r="BR848" s="436"/>
      <c r="BS848" s="436"/>
      <c r="BT848" s="436"/>
      <c r="BU848" s="436"/>
      <c r="BV848" s="436"/>
      <c r="BW848" s="436"/>
      <c r="BX848" s="1"/>
      <c r="BY848" s="1"/>
      <c r="BZ848" s="1"/>
      <c r="CA848" s="1"/>
      <c r="CB848" s="1"/>
      <c r="CC848" s="1"/>
      <c r="CD848" s="1"/>
      <c r="CE848" s="1"/>
      <c r="CF848" s="1"/>
      <c r="CG848" s="1"/>
    </row>
    <row r="849" spans="1:85" ht="15.75" customHeight="1">
      <c r="A849" s="500"/>
      <c r="B849" s="216"/>
      <c r="C849" s="527"/>
      <c r="D849" s="216"/>
      <c r="E849" s="503"/>
      <c r="F849" s="436"/>
      <c r="G849" s="436"/>
      <c r="H849" s="503"/>
      <c r="I849" s="504"/>
      <c r="J849" s="504"/>
      <c r="K849" s="503"/>
      <c r="L849" s="505"/>
      <c r="M849" s="436"/>
      <c r="N849" s="503"/>
      <c r="O849" s="436"/>
      <c r="P849" s="436"/>
      <c r="Q849" s="436"/>
      <c r="R849" s="436"/>
      <c r="S849" s="436"/>
      <c r="T849" s="436"/>
      <c r="U849" s="503"/>
      <c r="V849" s="503"/>
      <c r="W849" s="503"/>
      <c r="X849" s="506"/>
      <c r="Y849" s="506"/>
      <c r="Z849" s="506"/>
      <c r="AA849" s="436"/>
      <c r="AB849" s="436"/>
      <c r="AC849" s="436"/>
      <c r="AD849" s="436"/>
      <c r="AE849" s="508"/>
      <c r="AF849" s="508"/>
      <c r="AG849" s="508"/>
      <c r="AH849" s="508"/>
      <c r="AI849" s="436"/>
      <c r="AJ849" s="436"/>
      <c r="AK849" s="436"/>
      <c r="AL849" s="436"/>
      <c r="AM849" s="436"/>
      <c r="AN849" s="436"/>
      <c r="AO849" s="436"/>
      <c r="AP849" s="436"/>
      <c r="AQ849" s="436"/>
      <c r="AR849" s="436"/>
      <c r="AS849" s="436"/>
      <c r="AT849" s="436"/>
      <c r="AU849" s="436"/>
      <c r="AV849" s="436"/>
      <c r="AW849" s="436"/>
      <c r="AX849" s="436"/>
      <c r="AY849" s="436"/>
      <c r="AZ849" s="436"/>
      <c r="BA849" s="436"/>
      <c r="BB849" s="436"/>
      <c r="BC849" s="436"/>
      <c r="BD849" s="436"/>
      <c r="BE849" s="436"/>
      <c r="BF849" s="436"/>
      <c r="BG849" s="436"/>
      <c r="BH849" s="436"/>
      <c r="BI849" s="436"/>
      <c r="BJ849" s="436"/>
      <c r="BK849" s="436"/>
      <c r="BL849" s="436"/>
      <c r="BM849" s="436"/>
      <c r="BN849" s="436"/>
      <c r="BO849" s="339"/>
      <c r="BP849" s="436"/>
      <c r="BQ849" s="436"/>
      <c r="BR849" s="436"/>
      <c r="BS849" s="436"/>
      <c r="BT849" s="436"/>
      <c r="BU849" s="436"/>
      <c r="BV849" s="436"/>
      <c r="BW849" s="436"/>
      <c r="BX849" s="1"/>
      <c r="BY849" s="1"/>
      <c r="BZ849" s="1"/>
      <c r="CA849" s="1"/>
      <c r="CB849" s="1"/>
      <c r="CC849" s="1"/>
      <c r="CD849" s="1"/>
      <c r="CE849" s="1"/>
      <c r="CF849" s="1"/>
      <c r="CG849" s="1"/>
    </row>
    <row r="850" spans="1:85" ht="15.75" customHeight="1">
      <c r="A850" s="500"/>
      <c r="B850" s="216"/>
      <c r="C850" s="527"/>
      <c r="D850" s="216"/>
      <c r="E850" s="503"/>
      <c r="F850" s="436"/>
      <c r="G850" s="436"/>
      <c r="H850" s="503"/>
      <c r="I850" s="504"/>
      <c r="J850" s="504"/>
      <c r="K850" s="503"/>
      <c r="L850" s="505"/>
      <c r="M850" s="436"/>
      <c r="N850" s="503"/>
      <c r="O850" s="436"/>
      <c r="P850" s="436"/>
      <c r="Q850" s="436"/>
      <c r="R850" s="436"/>
      <c r="S850" s="436"/>
      <c r="T850" s="436"/>
      <c r="U850" s="503"/>
      <c r="V850" s="503"/>
      <c r="W850" s="503"/>
      <c r="X850" s="506"/>
      <c r="Y850" s="506"/>
      <c r="Z850" s="506"/>
      <c r="AA850" s="436"/>
      <c r="AB850" s="436"/>
      <c r="AC850" s="436"/>
      <c r="AD850" s="436"/>
      <c r="AE850" s="508"/>
      <c r="AF850" s="508"/>
      <c r="AG850" s="508"/>
      <c r="AH850" s="508"/>
      <c r="AI850" s="436"/>
      <c r="AJ850" s="436"/>
      <c r="AK850" s="436"/>
      <c r="AL850" s="436"/>
      <c r="AM850" s="436"/>
      <c r="AN850" s="436"/>
      <c r="AO850" s="436"/>
      <c r="AP850" s="436"/>
      <c r="AQ850" s="436"/>
      <c r="AR850" s="436"/>
      <c r="AS850" s="436"/>
      <c r="AT850" s="436"/>
      <c r="AU850" s="436"/>
      <c r="AV850" s="436"/>
      <c r="AW850" s="436"/>
      <c r="AX850" s="436"/>
      <c r="AY850" s="436"/>
      <c r="AZ850" s="436"/>
      <c r="BA850" s="436"/>
      <c r="BB850" s="436"/>
      <c r="BC850" s="436"/>
      <c r="BD850" s="436"/>
      <c r="BE850" s="436"/>
      <c r="BF850" s="436"/>
      <c r="BG850" s="436"/>
      <c r="BH850" s="436"/>
      <c r="BI850" s="436"/>
      <c r="BJ850" s="436"/>
      <c r="BK850" s="436"/>
      <c r="BL850" s="436"/>
      <c r="BM850" s="436"/>
      <c r="BN850" s="436"/>
      <c r="BO850" s="339"/>
      <c r="BP850" s="436"/>
      <c r="BQ850" s="436"/>
      <c r="BR850" s="436"/>
      <c r="BS850" s="436"/>
      <c r="BT850" s="436"/>
      <c r="BU850" s="436"/>
      <c r="BV850" s="436"/>
      <c r="BW850" s="436"/>
      <c r="BX850" s="1"/>
      <c r="BY850" s="1"/>
      <c r="BZ850" s="1"/>
      <c r="CA850" s="1"/>
      <c r="CB850" s="1"/>
      <c r="CC850" s="1"/>
      <c r="CD850" s="1"/>
      <c r="CE850" s="1"/>
      <c r="CF850" s="1"/>
      <c r="CG850" s="1"/>
    </row>
    <row r="851" spans="1:85" ht="15.75" customHeight="1">
      <c r="A851" s="500"/>
      <c r="B851" s="216"/>
      <c r="C851" s="527"/>
      <c r="D851" s="216"/>
      <c r="E851" s="503"/>
      <c r="F851" s="436"/>
      <c r="G851" s="436"/>
      <c r="H851" s="503"/>
      <c r="I851" s="504"/>
      <c r="J851" s="504"/>
      <c r="K851" s="503"/>
      <c r="L851" s="505"/>
      <c r="M851" s="436"/>
      <c r="N851" s="503"/>
      <c r="O851" s="436"/>
      <c r="P851" s="436"/>
      <c r="Q851" s="436"/>
      <c r="R851" s="436"/>
      <c r="S851" s="436"/>
      <c r="T851" s="436"/>
      <c r="U851" s="503"/>
      <c r="V851" s="503"/>
      <c r="W851" s="503"/>
      <c r="X851" s="506"/>
      <c r="Y851" s="506"/>
      <c r="Z851" s="506"/>
      <c r="AA851" s="436"/>
      <c r="AB851" s="436"/>
      <c r="AC851" s="436"/>
      <c r="AD851" s="436"/>
      <c r="AE851" s="508"/>
      <c r="AF851" s="508"/>
      <c r="AG851" s="508"/>
      <c r="AH851" s="508"/>
      <c r="AI851" s="436"/>
      <c r="AJ851" s="436"/>
      <c r="AK851" s="436"/>
      <c r="AL851" s="436"/>
      <c r="AM851" s="436"/>
      <c r="AN851" s="436"/>
      <c r="AO851" s="436"/>
      <c r="AP851" s="436"/>
      <c r="AQ851" s="436"/>
      <c r="AR851" s="436"/>
      <c r="AS851" s="436"/>
      <c r="AT851" s="436"/>
      <c r="AU851" s="436"/>
      <c r="AV851" s="436"/>
      <c r="AW851" s="436"/>
      <c r="AX851" s="436"/>
      <c r="AY851" s="436"/>
      <c r="AZ851" s="436"/>
      <c r="BA851" s="436"/>
      <c r="BB851" s="436"/>
      <c r="BC851" s="436"/>
      <c r="BD851" s="436"/>
      <c r="BE851" s="436"/>
      <c r="BF851" s="436"/>
      <c r="BG851" s="436"/>
      <c r="BH851" s="436"/>
      <c r="BI851" s="436"/>
      <c r="BJ851" s="436"/>
      <c r="BK851" s="436"/>
      <c r="BL851" s="436"/>
      <c r="BM851" s="436"/>
      <c r="BN851" s="436"/>
      <c r="BO851" s="339"/>
      <c r="BP851" s="436"/>
      <c r="BQ851" s="436"/>
      <c r="BR851" s="436"/>
      <c r="BS851" s="436"/>
      <c r="BT851" s="436"/>
      <c r="BU851" s="436"/>
      <c r="BV851" s="436"/>
      <c r="BW851" s="436"/>
      <c r="BX851" s="1"/>
      <c r="BY851" s="1"/>
      <c r="BZ851" s="1"/>
      <c r="CA851" s="1"/>
      <c r="CB851" s="1"/>
      <c r="CC851" s="1"/>
      <c r="CD851" s="1"/>
      <c r="CE851" s="1"/>
      <c r="CF851" s="1"/>
      <c r="CG851" s="1"/>
    </row>
    <row r="852" spans="1:85" ht="15.75" customHeight="1">
      <c r="A852" s="500"/>
      <c r="B852" s="216"/>
      <c r="C852" s="527"/>
      <c r="D852" s="216"/>
      <c r="E852" s="503"/>
      <c r="F852" s="436"/>
      <c r="G852" s="436"/>
      <c r="H852" s="503"/>
      <c r="I852" s="504"/>
      <c r="J852" s="504"/>
      <c r="K852" s="503"/>
      <c r="L852" s="505"/>
      <c r="M852" s="436"/>
      <c r="N852" s="503"/>
      <c r="O852" s="436"/>
      <c r="P852" s="436"/>
      <c r="Q852" s="436"/>
      <c r="R852" s="436"/>
      <c r="S852" s="436"/>
      <c r="T852" s="436"/>
      <c r="U852" s="503"/>
      <c r="V852" s="503"/>
      <c r="W852" s="503"/>
      <c r="X852" s="506"/>
      <c r="Y852" s="506"/>
      <c r="Z852" s="506"/>
      <c r="AA852" s="436"/>
      <c r="AB852" s="436"/>
      <c r="AC852" s="436"/>
      <c r="AD852" s="436"/>
      <c r="AE852" s="508"/>
      <c r="AF852" s="508"/>
      <c r="AG852" s="508"/>
      <c r="AH852" s="508"/>
      <c r="AI852" s="436"/>
      <c r="AJ852" s="436"/>
      <c r="AK852" s="436"/>
      <c r="AL852" s="436"/>
      <c r="AM852" s="436"/>
      <c r="AN852" s="436"/>
      <c r="AO852" s="436"/>
      <c r="AP852" s="436"/>
      <c r="AQ852" s="436"/>
      <c r="AR852" s="436"/>
      <c r="AS852" s="436"/>
      <c r="AT852" s="436"/>
      <c r="AU852" s="436"/>
      <c r="AV852" s="436"/>
      <c r="AW852" s="436"/>
      <c r="AX852" s="436"/>
      <c r="AY852" s="436"/>
      <c r="AZ852" s="436"/>
      <c r="BA852" s="436"/>
      <c r="BB852" s="436"/>
      <c r="BC852" s="436"/>
      <c r="BD852" s="436"/>
      <c r="BE852" s="436"/>
      <c r="BF852" s="436"/>
      <c r="BG852" s="436"/>
      <c r="BH852" s="436"/>
      <c r="BI852" s="436"/>
      <c r="BJ852" s="436"/>
      <c r="BK852" s="436"/>
      <c r="BL852" s="436"/>
      <c r="BM852" s="436"/>
      <c r="BN852" s="436"/>
      <c r="BO852" s="339"/>
      <c r="BP852" s="436"/>
      <c r="BQ852" s="436"/>
      <c r="BR852" s="436"/>
      <c r="BS852" s="436"/>
      <c r="BT852" s="436"/>
      <c r="BU852" s="436"/>
      <c r="BV852" s="436"/>
      <c r="BW852" s="436"/>
      <c r="BX852" s="1"/>
      <c r="BY852" s="1"/>
      <c r="BZ852" s="1"/>
      <c r="CA852" s="1"/>
      <c r="CB852" s="1"/>
      <c r="CC852" s="1"/>
      <c r="CD852" s="1"/>
      <c r="CE852" s="1"/>
      <c r="CF852" s="1"/>
      <c r="CG852" s="1"/>
    </row>
    <row r="853" spans="1:85" ht="15.75" customHeight="1">
      <c r="A853" s="500"/>
      <c r="B853" s="216"/>
      <c r="C853" s="527"/>
      <c r="D853" s="216"/>
      <c r="E853" s="503"/>
      <c r="F853" s="436"/>
      <c r="G853" s="436"/>
      <c r="H853" s="503"/>
      <c r="I853" s="504"/>
      <c r="J853" s="504"/>
      <c r="K853" s="503"/>
      <c r="L853" s="505"/>
      <c r="M853" s="436"/>
      <c r="N853" s="503"/>
      <c r="O853" s="436"/>
      <c r="P853" s="436"/>
      <c r="Q853" s="436"/>
      <c r="R853" s="436"/>
      <c r="S853" s="436"/>
      <c r="T853" s="436"/>
      <c r="U853" s="503"/>
      <c r="V853" s="503"/>
      <c r="W853" s="503"/>
      <c r="X853" s="506"/>
      <c r="Y853" s="506"/>
      <c r="Z853" s="506"/>
      <c r="AA853" s="436"/>
      <c r="AB853" s="436"/>
      <c r="AC853" s="436"/>
      <c r="AD853" s="436"/>
      <c r="AE853" s="508"/>
      <c r="AF853" s="508"/>
      <c r="AG853" s="508"/>
      <c r="AH853" s="508"/>
      <c r="AI853" s="436"/>
      <c r="AJ853" s="436"/>
      <c r="AK853" s="436"/>
      <c r="AL853" s="436"/>
      <c r="AM853" s="436"/>
      <c r="AN853" s="436"/>
      <c r="AO853" s="436"/>
      <c r="AP853" s="436"/>
      <c r="AQ853" s="436"/>
      <c r="AR853" s="436"/>
      <c r="AS853" s="436"/>
      <c r="AT853" s="436"/>
      <c r="AU853" s="436"/>
      <c r="AV853" s="436"/>
      <c r="AW853" s="436"/>
      <c r="AX853" s="436"/>
      <c r="AY853" s="436"/>
      <c r="AZ853" s="436"/>
      <c r="BA853" s="436"/>
      <c r="BB853" s="436"/>
      <c r="BC853" s="436"/>
      <c r="BD853" s="436"/>
      <c r="BE853" s="436"/>
      <c r="BF853" s="436"/>
      <c r="BG853" s="436"/>
      <c r="BH853" s="436"/>
      <c r="BI853" s="436"/>
      <c r="BJ853" s="436"/>
      <c r="BK853" s="436"/>
      <c r="BL853" s="436"/>
      <c r="BM853" s="436"/>
      <c r="BN853" s="436"/>
      <c r="BO853" s="339"/>
      <c r="BP853" s="436"/>
      <c r="BQ853" s="436"/>
      <c r="BR853" s="436"/>
      <c r="BS853" s="436"/>
      <c r="BT853" s="436"/>
      <c r="BU853" s="436"/>
      <c r="BV853" s="436"/>
      <c r="BW853" s="436"/>
      <c r="BX853" s="1"/>
      <c r="BY853" s="1"/>
      <c r="BZ853" s="1"/>
      <c r="CA853" s="1"/>
      <c r="CB853" s="1"/>
      <c r="CC853" s="1"/>
      <c r="CD853" s="1"/>
      <c r="CE853" s="1"/>
      <c r="CF853" s="1"/>
      <c r="CG853" s="1"/>
    </row>
    <row r="854" spans="1:85" ht="15.75" customHeight="1">
      <c r="A854" s="500"/>
      <c r="B854" s="216"/>
      <c r="C854" s="527"/>
      <c r="D854" s="216"/>
      <c r="E854" s="503"/>
      <c r="F854" s="436"/>
      <c r="G854" s="436"/>
      <c r="H854" s="503"/>
      <c r="I854" s="504"/>
      <c r="J854" s="504"/>
      <c r="K854" s="503"/>
      <c r="L854" s="505"/>
      <c r="M854" s="436"/>
      <c r="N854" s="503"/>
      <c r="O854" s="436"/>
      <c r="P854" s="436"/>
      <c r="Q854" s="436"/>
      <c r="R854" s="436"/>
      <c r="S854" s="436"/>
      <c r="T854" s="436"/>
      <c r="U854" s="503"/>
      <c r="V854" s="503"/>
      <c r="W854" s="503"/>
      <c r="X854" s="506"/>
      <c r="Y854" s="506"/>
      <c r="Z854" s="506"/>
      <c r="AA854" s="436"/>
      <c r="AB854" s="436"/>
      <c r="AC854" s="436"/>
      <c r="AD854" s="436"/>
      <c r="AE854" s="508"/>
      <c r="AF854" s="508"/>
      <c r="AG854" s="508"/>
      <c r="AH854" s="508"/>
      <c r="AI854" s="436"/>
      <c r="AJ854" s="436"/>
      <c r="AK854" s="436"/>
      <c r="AL854" s="436"/>
      <c r="AM854" s="436"/>
      <c r="AN854" s="436"/>
      <c r="AO854" s="436"/>
      <c r="AP854" s="436"/>
      <c r="AQ854" s="436"/>
      <c r="AR854" s="436"/>
      <c r="AS854" s="436"/>
      <c r="AT854" s="436"/>
      <c r="AU854" s="436"/>
      <c r="AV854" s="436"/>
      <c r="AW854" s="436"/>
      <c r="AX854" s="436"/>
      <c r="AY854" s="436"/>
      <c r="AZ854" s="436"/>
      <c r="BA854" s="436"/>
      <c r="BB854" s="436"/>
      <c r="BC854" s="436"/>
      <c r="BD854" s="436"/>
      <c r="BE854" s="436"/>
      <c r="BF854" s="436"/>
      <c r="BG854" s="436"/>
      <c r="BH854" s="436"/>
      <c r="BI854" s="436"/>
      <c r="BJ854" s="436"/>
      <c r="BK854" s="436"/>
      <c r="BL854" s="436"/>
      <c r="BM854" s="436"/>
      <c r="BN854" s="436"/>
      <c r="BO854" s="339"/>
      <c r="BP854" s="436"/>
      <c r="BQ854" s="436"/>
      <c r="BR854" s="436"/>
      <c r="BS854" s="436"/>
      <c r="BT854" s="436"/>
      <c r="BU854" s="436"/>
      <c r="BV854" s="436"/>
      <c r="BW854" s="436"/>
      <c r="BX854" s="1"/>
      <c r="BY854" s="1"/>
      <c r="BZ854" s="1"/>
      <c r="CA854" s="1"/>
      <c r="CB854" s="1"/>
      <c r="CC854" s="1"/>
      <c r="CD854" s="1"/>
      <c r="CE854" s="1"/>
      <c r="CF854" s="1"/>
      <c r="CG854" s="1"/>
    </row>
    <row r="855" spans="1:85" ht="15.75" customHeight="1">
      <c r="A855" s="500"/>
      <c r="B855" s="216"/>
      <c r="C855" s="527"/>
      <c r="D855" s="216"/>
      <c r="E855" s="503"/>
      <c r="F855" s="436"/>
      <c r="G855" s="436"/>
      <c r="H855" s="503"/>
      <c r="I855" s="504"/>
      <c r="J855" s="504"/>
      <c r="K855" s="503"/>
      <c r="L855" s="505"/>
      <c r="M855" s="436"/>
      <c r="N855" s="503"/>
      <c r="O855" s="436"/>
      <c r="P855" s="436"/>
      <c r="Q855" s="436"/>
      <c r="R855" s="436"/>
      <c r="S855" s="436"/>
      <c r="T855" s="436"/>
      <c r="U855" s="503"/>
      <c r="V855" s="503"/>
      <c r="W855" s="503"/>
      <c r="X855" s="506"/>
      <c r="Y855" s="506"/>
      <c r="Z855" s="506"/>
      <c r="AA855" s="436"/>
      <c r="AB855" s="436"/>
      <c r="AC855" s="436"/>
      <c r="AD855" s="436"/>
      <c r="AE855" s="508"/>
      <c r="AF855" s="508"/>
      <c r="AG855" s="508"/>
      <c r="AH855" s="508"/>
      <c r="AI855" s="436"/>
      <c r="AJ855" s="436"/>
      <c r="AK855" s="436"/>
      <c r="AL855" s="436"/>
      <c r="AM855" s="436"/>
      <c r="AN855" s="436"/>
      <c r="AO855" s="436"/>
      <c r="AP855" s="436"/>
      <c r="AQ855" s="436"/>
      <c r="AR855" s="436"/>
      <c r="AS855" s="436"/>
      <c r="AT855" s="436"/>
      <c r="AU855" s="436"/>
      <c r="AV855" s="436"/>
      <c r="AW855" s="436"/>
      <c r="AX855" s="436"/>
      <c r="AY855" s="436"/>
      <c r="AZ855" s="436"/>
      <c r="BA855" s="436"/>
      <c r="BB855" s="436"/>
      <c r="BC855" s="436"/>
      <c r="BD855" s="436"/>
      <c r="BE855" s="436"/>
      <c r="BF855" s="436"/>
      <c r="BG855" s="436"/>
      <c r="BH855" s="436"/>
      <c r="BI855" s="436"/>
      <c r="BJ855" s="436"/>
      <c r="BK855" s="436"/>
      <c r="BL855" s="436"/>
      <c r="BM855" s="436"/>
      <c r="BN855" s="436"/>
      <c r="BO855" s="339"/>
      <c r="BP855" s="436"/>
      <c r="BQ855" s="436"/>
      <c r="BR855" s="436"/>
      <c r="BS855" s="436"/>
      <c r="BT855" s="436"/>
      <c r="BU855" s="436"/>
      <c r="BV855" s="436"/>
      <c r="BW855" s="436"/>
      <c r="BX855" s="1"/>
      <c r="BY855" s="1"/>
      <c r="BZ855" s="1"/>
      <c r="CA855" s="1"/>
      <c r="CB855" s="1"/>
      <c r="CC855" s="1"/>
      <c r="CD855" s="1"/>
      <c r="CE855" s="1"/>
      <c r="CF855" s="1"/>
      <c r="CG855" s="1"/>
    </row>
    <row r="856" spans="1:85" ht="15.75" customHeight="1">
      <c r="A856" s="500"/>
      <c r="B856" s="216"/>
      <c r="C856" s="527"/>
      <c r="D856" s="216"/>
      <c r="E856" s="503"/>
      <c r="F856" s="436"/>
      <c r="G856" s="436"/>
      <c r="H856" s="503"/>
      <c r="I856" s="504"/>
      <c r="J856" s="504"/>
      <c r="K856" s="503"/>
      <c r="L856" s="505"/>
      <c r="M856" s="436"/>
      <c r="N856" s="503"/>
      <c r="O856" s="436"/>
      <c r="P856" s="436"/>
      <c r="Q856" s="436"/>
      <c r="R856" s="436"/>
      <c r="S856" s="436"/>
      <c r="T856" s="436"/>
      <c r="U856" s="503"/>
      <c r="V856" s="503"/>
      <c r="W856" s="503"/>
      <c r="X856" s="506"/>
      <c r="Y856" s="506"/>
      <c r="Z856" s="506"/>
      <c r="AA856" s="436"/>
      <c r="AB856" s="436"/>
      <c r="AC856" s="436"/>
      <c r="AD856" s="436"/>
      <c r="AE856" s="508"/>
      <c r="AF856" s="508"/>
      <c r="AG856" s="508"/>
      <c r="AH856" s="508"/>
      <c r="AI856" s="436"/>
      <c r="AJ856" s="436"/>
      <c r="AK856" s="436"/>
      <c r="AL856" s="436"/>
      <c r="AM856" s="436"/>
      <c r="AN856" s="436"/>
      <c r="AO856" s="436"/>
      <c r="AP856" s="436"/>
      <c r="AQ856" s="436"/>
      <c r="AR856" s="436"/>
      <c r="AS856" s="436"/>
      <c r="AT856" s="436"/>
      <c r="AU856" s="436"/>
      <c r="AV856" s="436"/>
      <c r="AW856" s="436"/>
      <c r="AX856" s="436"/>
      <c r="AY856" s="436"/>
      <c r="AZ856" s="436"/>
      <c r="BA856" s="436"/>
      <c r="BB856" s="436"/>
      <c r="BC856" s="436"/>
      <c r="BD856" s="436"/>
      <c r="BE856" s="436"/>
      <c r="BF856" s="436"/>
      <c r="BG856" s="436"/>
      <c r="BH856" s="436"/>
      <c r="BI856" s="436"/>
      <c r="BJ856" s="436"/>
      <c r="BK856" s="436"/>
      <c r="BL856" s="436"/>
      <c r="BM856" s="436"/>
      <c r="BN856" s="436"/>
      <c r="BO856" s="339"/>
      <c r="BP856" s="436"/>
      <c r="BQ856" s="436"/>
      <c r="BR856" s="436"/>
      <c r="BS856" s="436"/>
      <c r="BT856" s="436"/>
      <c r="BU856" s="436"/>
      <c r="BV856" s="436"/>
      <c r="BW856" s="436"/>
      <c r="BX856" s="1"/>
      <c r="BY856" s="1"/>
      <c r="BZ856" s="1"/>
      <c r="CA856" s="1"/>
      <c r="CB856" s="1"/>
      <c r="CC856" s="1"/>
      <c r="CD856" s="1"/>
      <c r="CE856" s="1"/>
      <c r="CF856" s="1"/>
      <c r="CG856" s="1"/>
    </row>
    <row r="857" spans="1:85" ht="15.75" customHeight="1">
      <c r="A857" s="500"/>
      <c r="B857" s="216"/>
      <c r="C857" s="527"/>
      <c r="D857" s="216"/>
      <c r="E857" s="503"/>
      <c r="F857" s="436"/>
      <c r="G857" s="436"/>
      <c r="H857" s="503"/>
      <c r="I857" s="504"/>
      <c r="J857" s="504"/>
      <c r="K857" s="503"/>
      <c r="L857" s="505"/>
      <c r="M857" s="436"/>
      <c r="N857" s="503"/>
      <c r="O857" s="436"/>
      <c r="P857" s="436"/>
      <c r="Q857" s="436"/>
      <c r="R857" s="436"/>
      <c r="S857" s="436"/>
      <c r="T857" s="436"/>
      <c r="U857" s="503"/>
      <c r="V857" s="503"/>
      <c r="W857" s="503"/>
      <c r="X857" s="506"/>
      <c r="Y857" s="506"/>
      <c r="Z857" s="506"/>
      <c r="AA857" s="436"/>
      <c r="AB857" s="436"/>
      <c r="AC857" s="436"/>
      <c r="AD857" s="436"/>
      <c r="AE857" s="508"/>
      <c r="AF857" s="508"/>
      <c r="AG857" s="508"/>
      <c r="AH857" s="508"/>
      <c r="AI857" s="436"/>
      <c r="AJ857" s="436"/>
      <c r="AK857" s="436"/>
      <c r="AL857" s="436"/>
      <c r="AM857" s="436"/>
      <c r="AN857" s="436"/>
      <c r="AO857" s="436"/>
      <c r="AP857" s="436"/>
      <c r="AQ857" s="436"/>
      <c r="AR857" s="436"/>
      <c r="AS857" s="436"/>
      <c r="AT857" s="436"/>
      <c r="AU857" s="436"/>
      <c r="AV857" s="436"/>
      <c r="AW857" s="436"/>
      <c r="AX857" s="436"/>
      <c r="AY857" s="436"/>
      <c r="AZ857" s="436"/>
      <c r="BA857" s="436"/>
      <c r="BB857" s="436"/>
      <c r="BC857" s="436"/>
      <c r="BD857" s="436"/>
      <c r="BE857" s="436"/>
      <c r="BF857" s="436"/>
      <c r="BG857" s="436"/>
      <c r="BH857" s="436"/>
      <c r="BI857" s="436"/>
      <c r="BJ857" s="436"/>
      <c r="BK857" s="436"/>
      <c r="BL857" s="436"/>
      <c r="BM857" s="436"/>
      <c r="BN857" s="436"/>
      <c r="BO857" s="339"/>
      <c r="BP857" s="436"/>
      <c r="BQ857" s="436"/>
      <c r="BR857" s="436"/>
      <c r="BS857" s="436"/>
      <c r="BT857" s="436"/>
      <c r="BU857" s="436"/>
      <c r="BV857" s="436"/>
      <c r="BW857" s="436"/>
      <c r="BX857" s="1"/>
      <c r="BY857" s="1"/>
      <c r="BZ857" s="1"/>
      <c r="CA857" s="1"/>
      <c r="CB857" s="1"/>
      <c r="CC857" s="1"/>
      <c r="CD857" s="1"/>
      <c r="CE857" s="1"/>
      <c r="CF857" s="1"/>
      <c r="CG857" s="1"/>
    </row>
    <row r="858" spans="1:85" ht="15.75" customHeight="1">
      <c r="A858" s="500"/>
      <c r="B858" s="216"/>
      <c r="C858" s="527"/>
      <c r="D858" s="216"/>
      <c r="E858" s="503"/>
      <c r="F858" s="436"/>
      <c r="G858" s="436"/>
      <c r="H858" s="503"/>
      <c r="I858" s="504"/>
      <c r="J858" s="504"/>
      <c r="K858" s="503"/>
      <c r="L858" s="505"/>
      <c r="M858" s="436"/>
      <c r="N858" s="503"/>
      <c r="O858" s="436"/>
      <c r="P858" s="436"/>
      <c r="Q858" s="436"/>
      <c r="R858" s="436"/>
      <c r="S858" s="436"/>
      <c r="T858" s="436"/>
      <c r="U858" s="503"/>
      <c r="V858" s="503"/>
      <c r="W858" s="503"/>
      <c r="X858" s="506"/>
      <c r="Y858" s="506"/>
      <c r="Z858" s="506"/>
      <c r="AA858" s="436"/>
      <c r="AB858" s="436"/>
      <c r="AC858" s="436"/>
      <c r="AD858" s="436"/>
      <c r="AE858" s="508"/>
      <c r="AF858" s="508"/>
      <c r="AG858" s="508"/>
      <c r="AH858" s="508"/>
      <c r="AI858" s="436"/>
      <c r="AJ858" s="436"/>
      <c r="AK858" s="436"/>
      <c r="AL858" s="436"/>
      <c r="AM858" s="436"/>
      <c r="AN858" s="436"/>
      <c r="AO858" s="436"/>
      <c r="AP858" s="436"/>
      <c r="AQ858" s="436"/>
      <c r="AR858" s="436"/>
      <c r="AS858" s="436"/>
      <c r="AT858" s="436"/>
      <c r="AU858" s="436"/>
      <c r="AV858" s="436"/>
      <c r="AW858" s="436"/>
      <c r="AX858" s="436"/>
      <c r="AY858" s="436"/>
      <c r="AZ858" s="436"/>
      <c r="BA858" s="436"/>
      <c r="BB858" s="436"/>
      <c r="BC858" s="436"/>
      <c r="BD858" s="436"/>
      <c r="BE858" s="436"/>
      <c r="BF858" s="436"/>
      <c r="BG858" s="436"/>
      <c r="BH858" s="436"/>
      <c r="BI858" s="436"/>
      <c r="BJ858" s="436"/>
      <c r="BK858" s="436"/>
      <c r="BL858" s="436"/>
      <c r="BM858" s="436"/>
      <c r="BN858" s="436"/>
      <c r="BO858" s="339"/>
      <c r="BP858" s="436"/>
      <c r="BQ858" s="436"/>
      <c r="BR858" s="436"/>
      <c r="BS858" s="436"/>
      <c r="BT858" s="436"/>
      <c r="BU858" s="436"/>
      <c r="BV858" s="436"/>
      <c r="BW858" s="436"/>
      <c r="BX858" s="1"/>
      <c r="BY858" s="1"/>
      <c r="BZ858" s="1"/>
      <c r="CA858" s="1"/>
      <c r="CB858" s="1"/>
      <c r="CC858" s="1"/>
      <c r="CD858" s="1"/>
      <c r="CE858" s="1"/>
      <c r="CF858" s="1"/>
      <c r="CG858" s="1"/>
    </row>
    <row r="859" spans="1:85" ht="15.75" customHeight="1">
      <c r="A859" s="500"/>
      <c r="B859" s="216"/>
      <c r="C859" s="527"/>
      <c r="D859" s="216"/>
      <c r="E859" s="503"/>
      <c r="F859" s="436"/>
      <c r="G859" s="436"/>
      <c r="H859" s="503"/>
      <c r="I859" s="504"/>
      <c r="J859" s="504"/>
      <c r="K859" s="503"/>
      <c r="L859" s="505"/>
      <c r="M859" s="436"/>
      <c r="N859" s="503"/>
      <c r="O859" s="436"/>
      <c r="P859" s="436"/>
      <c r="Q859" s="436"/>
      <c r="R859" s="436"/>
      <c r="S859" s="436"/>
      <c r="T859" s="436"/>
      <c r="U859" s="503"/>
      <c r="V859" s="503"/>
      <c r="W859" s="503"/>
      <c r="X859" s="506"/>
      <c r="Y859" s="506"/>
      <c r="Z859" s="506"/>
      <c r="AA859" s="436"/>
      <c r="AB859" s="436"/>
      <c r="AC859" s="436"/>
      <c r="AD859" s="436"/>
      <c r="AE859" s="508"/>
      <c r="AF859" s="508"/>
      <c r="AG859" s="508"/>
      <c r="AH859" s="508"/>
      <c r="AI859" s="436"/>
      <c r="AJ859" s="436"/>
      <c r="AK859" s="436"/>
      <c r="AL859" s="436"/>
      <c r="AM859" s="436"/>
      <c r="AN859" s="436"/>
      <c r="AO859" s="436"/>
      <c r="AP859" s="436"/>
      <c r="AQ859" s="436"/>
      <c r="AR859" s="436"/>
      <c r="AS859" s="436"/>
      <c r="AT859" s="436"/>
      <c r="AU859" s="436"/>
      <c r="AV859" s="436"/>
      <c r="AW859" s="436"/>
      <c r="AX859" s="436"/>
      <c r="AY859" s="436"/>
      <c r="AZ859" s="436"/>
      <c r="BA859" s="436"/>
      <c r="BB859" s="436"/>
      <c r="BC859" s="436"/>
      <c r="BD859" s="436"/>
      <c r="BE859" s="436"/>
      <c r="BF859" s="436"/>
      <c r="BG859" s="436"/>
      <c r="BH859" s="436"/>
      <c r="BI859" s="436"/>
      <c r="BJ859" s="436"/>
      <c r="BK859" s="436"/>
      <c r="BL859" s="436"/>
      <c r="BM859" s="436"/>
      <c r="BN859" s="436"/>
      <c r="BO859" s="339"/>
      <c r="BP859" s="436"/>
      <c r="BQ859" s="436"/>
      <c r="BR859" s="436"/>
      <c r="BS859" s="436"/>
      <c r="BT859" s="436"/>
      <c r="BU859" s="436"/>
      <c r="BV859" s="436"/>
      <c r="BW859" s="436"/>
      <c r="BX859" s="1"/>
      <c r="BY859" s="1"/>
      <c r="BZ859" s="1"/>
      <c r="CA859" s="1"/>
      <c r="CB859" s="1"/>
      <c r="CC859" s="1"/>
      <c r="CD859" s="1"/>
      <c r="CE859" s="1"/>
      <c r="CF859" s="1"/>
      <c r="CG859" s="1"/>
    </row>
    <row r="860" spans="1:85" ht="15.75" customHeight="1">
      <c r="A860" s="500"/>
      <c r="B860" s="216"/>
      <c r="C860" s="527"/>
      <c r="D860" s="216"/>
      <c r="E860" s="503"/>
      <c r="F860" s="436"/>
      <c r="G860" s="436"/>
      <c r="H860" s="503"/>
      <c r="I860" s="504"/>
      <c r="J860" s="504"/>
      <c r="K860" s="503"/>
      <c r="L860" s="505"/>
      <c r="M860" s="436"/>
      <c r="N860" s="503"/>
      <c r="O860" s="436"/>
      <c r="P860" s="436"/>
      <c r="Q860" s="436"/>
      <c r="R860" s="436"/>
      <c r="S860" s="436"/>
      <c r="T860" s="436"/>
      <c r="U860" s="503"/>
      <c r="V860" s="503"/>
      <c r="W860" s="503"/>
      <c r="X860" s="506"/>
      <c r="Y860" s="506"/>
      <c r="Z860" s="506"/>
      <c r="AA860" s="436"/>
      <c r="AB860" s="436"/>
      <c r="AC860" s="436"/>
      <c r="AD860" s="436"/>
      <c r="AE860" s="508"/>
      <c r="AF860" s="508"/>
      <c r="AG860" s="508"/>
      <c r="AH860" s="508"/>
      <c r="AI860" s="436"/>
      <c r="AJ860" s="436"/>
      <c r="AK860" s="436"/>
      <c r="AL860" s="436"/>
      <c r="AM860" s="436"/>
      <c r="AN860" s="436"/>
      <c r="AO860" s="436"/>
      <c r="AP860" s="436"/>
      <c r="AQ860" s="436"/>
      <c r="AR860" s="436"/>
      <c r="AS860" s="436"/>
      <c r="AT860" s="436"/>
      <c r="AU860" s="436"/>
      <c r="AV860" s="436"/>
      <c r="AW860" s="436"/>
      <c r="AX860" s="436"/>
      <c r="AY860" s="436"/>
      <c r="AZ860" s="436"/>
      <c r="BA860" s="436"/>
      <c r="BB860" s="436"/>
      <c r="BC860" s="436"/>
      <c r="BD860" s="436"/>
      <c r="BE860" s="436"/>
      <c r="BF860" s="436"/>
      <c r="BG860" s="436"/>
      <c r="BH860" s="436"/>
      <c r="BI860" s="436"/>
      <c r="BJ860" s="436"/>
      <c r="BK860" s="436"/>
      <c r="BL860" s="436"/>
      <c r="BM860" s="436"/>
      <c r="BN860" s="436"/>
      <c r="BO860" s="339"/>
      <c r="BP860" s="436"/>
      <c r="BQ860" s="436"/>
      <c r="BR860" s="436"/>
      <c r="BS860" s="436"/>
      <c r="BT860" s="436"/>
      <c r="BU860" s="436"/>
      <c r="BV860" s="436"/>
      <c r="BW860" s="436"/>
      <c r="BX860" s="1"/>
      <c r="BY860" s="1"/>
      <c r="BZ860" s="1"/>
      <c r="CA860" s="1"/>
      <c r="CB860" s="1"/>
      <c r="CC860" s="1"/>
      <c r="CD860" s="1"/>
      <c r="CE860" s="1"/>
      <c r="CF860" s="1"/>
      <c r="CG860" s="1"/>
    </row>
    <row r="861" spans="1:85" ht="15.75" customHeight="1">
      <c r="A861" s="500"/>
      <c r="B861" s="216"/>
      <c r="C861" s="527"/>
      <c r="D861" s="216"/>
      <c r="E861" s="503"/>
      <c r="F861" s="436"/>
      <c r="G861" s="436"/>
      <c r="H861" s="503"/>
      <c r="I861" s="504"/>
      <c r="J861" s="504"/>
      <c r="K861" s="503"/>
      <c r="L861" s="505"/>
      <c r="M861" s="436"/>
      <c r="N861" s="503"/>
      <c r="O861" s="436"/>
      <c r="P861" s="436"/>
      <c r="Q861" s="436"/>
      <c r="R861" s="436"/>
      <c r="S861" s="436"/>
      <c r="T861" s="436"/>
      <c r="U861" s="503"/>
      <c r="V861" s="503"/>
      <c r="W861" s="503"/>
      <c r="X861" s="506"/>
      <c r="Y861" s="506"/>
      <c r="Z861" s="506"/>
      <c r="AA861" s="436"/>
      <c r="AB861" s="436"/>
      <c r="AC861" s="436"/>
      <c r="AD861" s="436"/>
      <c r="AE861" s="508"/>
      <c r="AF861" s="508"/>
      <c r="AG861" s="508"/>
      <c r="AH861" s="508"/>
      <c r="AI861" s="436"/>
      <c r="AJ861" s="436"/>
      <c r="AK861" s="436"/>
      <c r="AL861" s="436"/>
      <c r="AM861" s="436"/>
      <c r="AN861" s="436"/>
      <c r="AO861" s="436"/>
      <c r="AP861" s="436"/>
      <c r="AQ861" s="436"/>
      <c r="AR861" s="436"/>
      <c r="AS861" s="436"/>
      <c r="AT861" s="436"/>
      <c r="AU861" s="436"/>
      <c r="AV861" s="436"/>
      <c r="AW861" s="436"/>
      <c r="AX861" s="436"/>
      <c r="AY861" s="436"/>
      <c r="AZ861" s="436"/>
      <c r="BA861" s="436"/>
      <c r="BB861" s="436"/>
      <c r="BC861" s="436"/>
      <c r="BD861" s="436"/>
      <c r="BE861" s="436"/>
      <c r="BF861" s="436"/>
      <c r="BG861" s="436"/>
      <c r="BH861" s="436"/>
      <c r="BI861" s="436"/>
      <c r="BJ861" s="436"/>
      <c r="BK861" s="436"/>
      <c r="BL861" s="436"/>
      <c r="BM861" s="436"/>
      <c r="BN861" s="436"/>
      <c r="BO861" s="339"/>
      <c r="BP861" s="436"/>
      <c r="BQ861" s="436"/>
      <c r="BR861" s="436"/>
      <c r="BS861" s="436"/>
      <c r="BT861" s="436"/>
      <c r="BU861" s="436"/>
      <c r="BV861" s="436"/>
      <c r="BW861" s="436"/>
      <c r="BX861" s="1"/>
      <c r="BY861" s="1"/>
      <c r="BZ861" s="1"/>
      <c r="CA861" s="1"/>
      <c r="CB861" s="1"/>
      <c r="CC861" s="1"/>
      <c r="CD861" s="1"/>
      <c r="CE861" s="1"/>
      <c r="CF861" s="1"/>
      <c r="CG861" s="1"/>
    </row>
    <row r="862" spans="1:85" ht="15.75" customHeight="1">
      <c r="A862" s="500"/>
      <c r="B862" s="216"/>
      <c r="C862" s="527"/>
      <c r="D862" s="216"/>
      <c r="E862" s="503"/>
      <c r="F862" s="436"/>
      <c r="G862" s="436"/>
      <c r="H862" s="503"/>
      <c r="I862" s="504"/>
      <c r="J862" s="504"/>
      <c r="K862" s="503"/>
      <c r="L862" s="505"/>
      <c r="M862" s="436"/>
      <c r="N862" s="503"/>
      <c r="O862" s="436"/>
      <c r="P862" s="436"/>
      <c r="Q862" s="436"/>
      <c r="R862" s="436"/>
      <c r="S862" s="436"/>
      <c r="T862" s="436"/>
      <c r="U862" s="503"/>
      <c r="V862" s="503"/>
      <c r="W862" s="503"/>
      <c r="X862" s="506"/>
      <c r="Y862" s="506"/>
      <c r="Z862" s="506"/>
      <c r="AA862" s="436"/>
      <c r="AB862" s="436"/>
      <c r="AC862" s="436"/>
      <c r="AD862" s="436"/>
      <c r="AE862" s="508"/>
      <c r="AF862" s="508"/>
      <c r="AG862" s="508"/>
      <c r="AH862" s="508"/>
      <c r="AI862" s="436"/>
      <c r="AJ862" s="436"/>
      <c r="AK862" s="436"/>
      <c r="AL862" s="436"/>
      <c r="AM862" s="436"/>
      <c r="AN862" s="436"/>
      <c r="AO862" s="436"/>
      <c r="AP862" s="436"/>
      <c r="AQ862" s="436"/>
      <c r="AR862" s="436"/>
      <c r="AS862" s="436"/>
      <c r="AT862" s="436"/>
      <c r="AU862" s="436"/>
      <c r="AV862" s="436"/>
      <c r="AW862" s="436"/>
      <c r="AX862" s="436"/>
      <c r="AY862" s="436"/>
      <c r="AZ862" s="436"/>
      <c r="BA862" s="436"/>
      <c r="BB862" s="436"/>
      <c r="BC862" s="436"/>
      <c r="BD862" s="436"/>
      <c r="BE862" s="436"/>
      <c r="BF862" s="436"/>
      <c r="BG862" s="436"/>
      <c r="BH862" s="436"/>
      <c r="BI862" s="436"/>
      <c r="BJ862" s="436"/>
      <c r="BK862" s="436"/>
      <c r="BL862" s="436"/>
      <c r="BM862" s="436"/>
      <c r="BN862" s="436"/>
      <c r="BO862" s="339"/>
      <c r="BP862" s="436"/>
      <c r="BQ862" s="436"/>
      <c r="BR862" s="436"/>
      <c r="BS862" s="436"/>
      <c r="BT862" s="436"/>
      <c r="BU862" s="436"/>
      <c r="BV862" s="436"/>
      <c r="BW862" s="436"/>
      <c r="BX862" s="1"/>
      <c r="BY862" s="1"/>
      <c r="BZ862" s="1"/>
      <c r="CA862" s="1"/>
      <c r="CB862" s="1"/>
      <c r="CC862" s="1"/>
      <c r="CD862" s="1"/>
      <c r="CE862" s="1"/>
      <c r="CF862" s="1"/>
      <c r="CG862" s="1"/>
    </row>
    <row r="863" spans="1:85" ht="15.75" customHeight="1">
      <c r="A863" s="500"/>
      <c r="B863" s="216"/>
      <c r="C863" s="527"/>
      <c r="D863" s="216"/>
      <c r="E863" s="503"/>
      <c r="F863" s="436"/>
      <c r="G863" s="436"/>
      <c r="H863" s="503"/>
      <c r="I863" s="504"/>
      <c r="J863" s="504"/>
      <c r="K863" s="503"/>
      <c r="L863" s="505"/>
      <c r="M863" s="436"/>
      <c r="N863" s="503"/>
      <c r="O863" s="436"/>
      <c r="P863" s="436"/>
      <c r="Q863" s="436"/>
      <c r="R863" s="436"/>
      <c r="S863" s="436"/>
      <c r="T863" s="436"/>
      <c r="U863" s="503"/>
      <c r="V863" s="503"/>
      <c r="W863" s="503"/>
      <c r="X863" s="506"/>
      <c r="Y863" s="506"/>
      <c r="Z863" s="506"/>
      <c r="AA863" s="436"/>
      <c r="AB863" s="436"/>
      <c r="AC863" s="436"/>
      <c r="AD863" s="436"/>
      <c r="AE863" s="508"/>
      <c r="AF863" s="508"/>
      <c r="AG863" s="508"/>
      <c r="AH863" s="508"/>
      <c r="AI863" s="436"/>
      <c r="AJ863" s="436"/>
      <c r="AK863" s="436"/>
      <c r="AL863" s="436"/>
      <c r="AM863" s="436"/>
      <c r="AN863" s="436"/>
      <c r="AO863" s="436"/>
      <c r="AP863" s="436"/>
      <c r="AQ863" s="436"/>
      <c r="AR863" s="436"/>
      <c r="AS863" s="436"/>
      <c r="AT863" s="436"/>
      <c r="AU863" s="436"/>
      <c r="AV863" s="436"/>
      <c r="AW863" s="436"/>
      <c r="AX863" s="436"/>
      <c r="AY863" s="436"/>
      <c r="AZ863" s="436"/>
      <c r="BA863" s="436"/>
      <c r="BB863" s="436"/>
      <c r="BC863" s="436"/>
      <c r="BD863" s="436"/>
      <c r="BE863" s="436"/>
      <c r="BF863" s="436"/>
      <c r="BG863" s="436"/>
      <c r="BH863" s="436"/>
      <c r="BI863" s="436"/>
      <c r="BJ863" s="436"/>
      <c r="BK863" s="436"/>
      <c r="BL863" s="436"/>
      <c r="BM863" s="436"/>
      <c r="BN863" s="436"/>
      <c r="BO863" s="339"/>
      <c r="BP863" s="436"/>
      <c r="BQ863" s="436"/>
      <c r="BR863" s="436"/>
      <c r="BS863" s="436"/>
      <c r="BT863" s="436"/>
      <c r="BU863" s="436"/>
      <c r="BV863" s="436"/>
      <c r="BW863" s="436"/>
      <c r="BX863" s="1"/>
      <c r="BY863" s="1"/>
      <c r="BZ863" s="1"/>
      <c r="CA863" s="1"/>
      <c r="CB863" s="1"/>
      <c r="CC863" s="1"/>
      <c r="CD863" s="1"/>
      <c r="CE863" s="1"/>
      <c r="CF863" s="1"/>
      <c r="CG863" s="1"/>
    </row>
    <row r="864" spans="1:85" ht="15.75" customHeight="1">
      <c r="A864" s="500"/>
      <c r="B864" s="216"/>
      <c r="C864" s="527"/>
      <c r="D864" s="216"/>
      <c r="E864" s="503"/>
      <c r="F864" s="436"/>
      <c r="G864" s="436"/>
      <c r="H864" s="503"/>
      <c r="I864" s="504"/>
      <c r="J864" s="504"/>
      <c r="K864" s="503"/>
      <c r="L864" s="505"/>
      <c r="M864" s="436"/>
      <c r="N864" s="503"/>
      <c r="O864" s="436"/>
      <c r="P864" s="436"/>
      <c r="Q864" s="436"/>
      <c r="R864" s="436"/>
      <c r="S864" s="436"/>
      <c r="T864" s="436"/>
      <c r="U864" s="503"/>
      <c r="V864" s="503"/>
      <c r="W864" s="503"/>
      <c r="X864" s="506"/>
      <c r="Y864" s="506"/>
      <c r="Z864" s="506"/>
      <c r="AA864" s="436"/>
      <c r="AB864" s="436"/>
      <c r="AC864" s="436"/>
      <c r="AD864" s="436"/>
      <c r="AE864" s="508"/>
      <c r="AF864" s="508"/>
      <c r="AG864" s="508"/>
      <c r="AH864" s="508"/>
      <c r="AI864" s="436"/>
      <c r="AJ864" s="436"/>
      <c r="AK864" s="436"/>
      <c r="AL864" s="436"/>
      <c r="AM864" s="436"/>
      <c r="AN864" s="436"/>
      <c r="AO864" s="436"/>
      <c r="AP864" s="436"/>
      <c r="AQ864" s="436"/>
      <c r="AR864" s="436"/>
      <c r="AS864" s="436"/>
      <c r="AT864" s="436"/>
      <c r="AU864" s="436"/>
      <c r="AV864" s="436"/>
      <c r="AW864" s="436"/>
      <c r="AX864" s="436"/>
      <c r="AY864" s="436"/>
      <c r="AZ864" s="436"/>
      <c r="BA864" s="436"/>
      <c r="BB864" s="436"/>
      <c r="BC864" s="436"/>
      <c r="BD864" s="436"/>
      <c r="BE864" s="436"/>
      <c r="BF864" s="436"/>
      <c r="BG864" s="436"/>
      <c r="BH864" s="436"/>
      <c r="BI864" s="436"/>
      <c r="BJ864" s="436"/>
      <c r="BK864" s="436"/>
      <c r="BL864" s="436"/>
      <c r="BM864" s="436"/>
      <c r="BN864" s="436"/>
      <c r="BO864" s="339"/>
      <c r="BP864" s="436"/>
      <c r="BQ864" s="436"/>
      <c r="BR864" s="436"/>
      <c r="BS864" s="436"/>
      <c r="BT864" s="436"/>
      <c r="BU864" s="436"/>
      <c r="BV864" s="436"/>
      <c r="BW864" s="436"/>
      <c r="BX864" s="1"/>
      <c r="BY864" s="1"/>
      <c r="BZ864" s="1"/>
      <c r="CA864" s="1"/>
      <c r="CB864" s="1"/>
      <c r="CC864" s="1"/>
      <c r="CD864" s="1"/>
      <c r="CE864" s="1"/>
      <c r="CF864" s="1"/>
      <c r="CG864" s="1"/>
    </row>
    <row r="865" spans="1:85" ht="15.75" customHeight="1">
      <c r="A865" s="500"/>
      <c r="B865" s="216"/>
      <c r="C865" s="527"/>
      <c r="D865" s="216"/>
      <c r="E865" s="503"/>
      <c r="F865" s="436"/>
      <c r="G865" s="436"/>
      <c r="H865" s="503"/>
      <c r="I865" s="504"/>
      <c r="J865" s="504"/>
      <c r="K865" s="503"/>
      <c r="L865" s="505"/>
      <c r="M865" s="436"/>
      <c r="N865" s="503"/>
      <c r="O865" s="436"/>
      <c r="P865" s="436"/>
      <c r="Q865" s="436"/>
      <c r="R865" s="436"/>
      <c r="S865" s="436"/>
      <c r="T865" s="436"/>
      <c r="U865" s="503"/>
      <c r="V865" s="503"/>
      <c r="W865" s="503"/>
      <c r="X865" s="506"/>
      <c r="Y865" s="506"/>
      <c r="Z865" s="506"/>
      <c r="AA865" s="436"/>
      <c r="AB865" s="436"/>
      <c r="AC865" s="436"/>
      <c r="AD865" s="436"/>
      <c r="AE865" s="508"/>
      <c r="AF865" s="508"/>
      <c r="AG865" s="508"/>
      <c r="AH865" s="508"/>
      <c r="AI865" s="436"/>
      <c r="AJ865" s="436"/>
      <c r="AK865" s="436"/>
      <c r="AL865" s="436"/>
      <c r="AM865" s="436"/>
      <c r="AN865" s="436"/>
      <c r="AO865" s="436"/>
      <c r="AP865" s="436"/>
      <c r="AQ865" s="436"/>
      <c r="AR865" s="436"/>
      <c r="AS865" s="436"/>
      <c r="AT865" s="436"/>
      <c r="AU865" s="436"/>
      <c r="AV865" s="436"/>
      <c r="AW865" s="436"/>
      <c r="AX865" s="436"/>
      <c r="AY865" s="436"/>
      <c r="AZ865" s="436"/>
      <c r="BA865" s="436"/>
      <c r="BB865" s="436"/>
      <c r="BC865" s="436"/>
      <c r="BD865" s="436"/>
      <c r="BE865" s="436"/>
      <c r="BF865" s="436"/>
      <c r="BG865" s="436"/>
      <c r="BH865" s="436"/>
      <c r="BI865" s="436"/>
      <c r="BJ865" s="436"/>
      <c r="BK865" s="436"/>
      <c r="BL865" s="436"/>
      <c r="BM865" s="436"/>
      <c r="BN865" s="436"/>
      <c r="BO865" s="339"/>
      <c r="BP865" s="436"/>
      <c r="BQ865" s="436"/>
      <c r="BR865" s="436"/>
      <c r="BS865" s="436"/>
      <c r="BT865" s="436"/>
      <c r="BU865" s="436"/>
      <c r="BV865" s="436"/>
      <c r="BW865" s="436"/>
      <c r="BX865" s="1"/>
      <c r="BY865" s="1"/>
      <c r="BZ865" s="1"/>
      <c r="CA865" s="1"/>
      <c r="CB865" s="1"/>
      <c r="CC865" s="1"/>
      <c r="CD865" s="1"/>
      <c r="CE865" s="1"/>
      <c r="CF865" s="1"/>
      <c r="CG865" s="1"/>
    </row>
    <row r="866" spans="1:85" ht="15.75" customHeight="1">
      <c r="A866" s="500"/>
      <c r="B866" s="216"/>
      <c r="C866" s="527"/>
      <c r="D866" s="216"/>
      <c r="E866" s="503"/>
      <c r="F866" s="436"/>
      <c r="G866" s="436"/>
      <c r="H866" s="503"/>
      <c r="I866" s="504"/>
      <c r="J866" s="504"/>
      <c r="K866" s="503"/>
      <c r="L866" s="505"/>
      <c r="M866" s="436"/>
      <c r="N866" s="503"/>
      <c r="O866" s="436"/>
      <c r="P866" s="436"/>
      <c r="Q866" s="436"/>
      <c r="R866" s="436"/>
      <c r="S866" s="436"/>
      <c r="T866" s="436"/>
      <c r="U866" s="503"/>
      <c r="V866" s="503"/>
      <c r="W866" s="503"/>
      <c r="X866" s="506"/>
      <c r="Y866" s="506"/>
      <c r="Z866" s="506"/>
      <c r="AA866" s="436"/>
      <c r="AB866" s="436"/>
      <c r="AC866" s="436"/>
      <c r="AD866" s="436"/>
      <c r="AE866" s="508"/>
      <c r="AF866" s="508"/>
      <c r="AG866" s="508"/>
      <c r="AH866" s="508"/>
      <c r="AI866" s="436"/>
      <c r="AJ866" s="436"/>
      <c r="AK866" s="436"/>
      <c r="AL866" s="436"/>
      <c r="AM866" s="436"/>
      <c r="AN866" s="436"/>
      <c r="AO866" s="436"/>
      <c r="AP866" s="436"/>
      <c r="AQ866" s="436"/>
      <c r="AR866" s="436"/>
      <c r="AS866" s="436"/>
      <c r="AT866" s="436"/>
      <c r="AU866" s="436"/>
      <c r="AV866" s="436"/>
      <c r="AW866" s="436"/>
      <c r="AX866" s="436"/>
      <c r="AY866" s="436"/>
      <c r="AZ866" s="436"/>
      <c r="BA866" s="436"/>
      <c r="BB866" s="436"/>
      <c r="BC866" s="436"/>
      <c r="BD866" s="436"/>
      <c r="BE866" s="436"/>
      <c r="BF866" s="436"/>
      <c r="BG866" s="436"/>
      <c r="BH866" s="436"/>
      <c r="BI866" s="436"/>
      <c r="BJ866" s="436"/>
      <c r="BK866" s="436"/>
      <c r="BL866" s="436"/>
      <c r="BM866" s="436"/>
      <c r="BN866" s="436"/>
      <c r="BO866" s="339"/>
      <c r="BP866" s="436"/>
      <c r="BQ866" s="436"/>
      <c r="BR866" s="436"/>
      <c r="BS866" s="436"/>
      <c r="BT866" s="436"/>
      <c r="BU866" s="436"/>
      <c r="BV866" s="436"/>
      <c r="BW866" s="436"/>
      <c r="BX866" s="1"/>
      <c r="BY866" s="1"/>
      <c r="BZ866" s="1"/>
      <c r="CA866" s="1"/>
      <c r="CB866" s="1"/>
      <c r="CC866" s="1"/>
      <c r="CD866" s="1"/>
      <c r="CE866" s="1"/>
      <c r="CF866" s="1"/>
      <c r="CG866" s="1"/>
    </row>
    <row r="867" spans="1:85" ht="15.75" customHeight="1">
      <c r="A867" s="500"/>
      <c r="B867" s="216"/>
      <c r="C867" s="527"/>
      <c r="D867" s="216"/>
      <c r="E867" s="503"/>
      <c r="F867" s="436"/>
      <c r="G867" s="436"/>
      <c r="H867" s="503"/>
      <c r="I867" s="504"/>
      <c r="J867" s="504"/>
      <c r="K867" s="503"/>
      <c r="L867" s="505"/>
      <c r="M867" s="436"/>
      <c r="N867" s="503"/>
      <c r="O867" s="436"/>
      <c r="P867" s="436"/>
      <c r="Q867" s="436"/>
      <c r="R867" s="436"/>
      <c r="S867" s="436"/>
      <c r="T867" s="436"/>
      <c r="U867" s="503"/>
      <c r="V867" s="503"/>
      <c r="W867" s="503"/>
      <c r="X867" s="506"/>
      <c r="Y867" s="506"/>
      <c r="Z867" s="506"/>
      <c r="AA867" s="436"/>
      <c r="AB867" s="436"/>
      <c r="AC867" s="436"/>
      <c r="AD867" s="436"/>
      <c r="AE867" s="508"/>
      <c r="AF867" s="508"/>
      <c r="AG867" s="508"/>
      <c r="AH867" s="508"/>
      <c r="AI867" s="436"/>
      <c r="AJ867" s="436"/>
      <c r="AK867" s="436"/>
      <c r="AL867" s="436"/>
      <c r="AM867" s="436"/>
      <c r="AN867" s="436"/>
      <c r="AO867" s="436"/>
      <c r="AP867" s="436"/>
      <c r="AQ867" s="436"/>
      <c r="AR867" s="436"/>
      <c r="AS867" s="436"/>
      <c r="AT867" s="436"/>
      <c r="AU867" s="436"/>
      <c r="AV867" s="436"/>
      <c r="AW867" s="436"/>
      <c r="AX867" s="436"/>
      <c r="AY867" s="436"/>
      <c r="AZ867" s="436"/>
      <c r="BA867" s="436"/>
      <c r="BB867" s="436"/>
      <c r="BC867" s="436"/>
      <c r="BD867" s="436"/>
      <c r="BE867" s="436"/>
      <c r="BF867" s="436"/>
      <c r="BG867" s="436"/>
      <c r="BH867" s="436"/>
      <c r="BI867" s="436"/>
      <c r="BJ867" s="436"/>
      <c r="BK867" s="436"/>
      <c r="BL867" s="436"/>
      <c r="BM867" s="436"/>
      <c r="BN867" s="436"/>
      <c r="BO867" s="339"/>
      <c r="BP867" s="436"/>
      <c r="BQ867" s="436"/>
      <c r="BR867" s="436"/>
      <c r="BS867" s="436"/>
      <c r="BT867" s="436"/>
      <c r="BU867" s="436"/>
      <c r="BV867" s="436"/>
      <c r="BW867" s="436"/>
      <c r="BX867" s="1"/>
      <c r="BY867" s="1"/>
      <c r="BZ867" s="1"/>
      <c r="CA867" s="1"/>
      <c r="CB867" s="1"/>
      <c r="CC867" s="1"/>
      <c r="CD867" s="1"/>
      <c r="CE867" s="1"/>
      <c r="CF867" s="1"/>
      <c r="CG867" s="1"/>
    </row>
    <row r="868" spans="1:85" ht="15.75" customHeight="1">
      <c r="A868" s="500"/>
      <c r="B868" s="216"/>
      <c r="C868" s="527"/>
      <c r="D868" s="216"/>
      <c r="E868" s="503"/>
      <c r="F868" s="436"/>
      <c r="G868" s="436"/>
      <c r="H868" s="503"/>
      <c r="I868" s="504"/>
      <c r="J868" s="504"/>
      <c r="K868" s="503"/>
      <c r="L868" s="505"/>
      <c r="M868" s="436"/>
      <c r="N868" s="503"/>
      <c r="O868" s="436"/>
      <c r="P868" s="436"/>
      <c r="Q868" s="436"/>
      <c r="R868" s="436"/>
      <c r="S868" s="436"/>
      <c r="T868" s="436"/>
      <c r="U868" s="503"/>
      <c r="V868" s="503"/>
      <c r="W868" s="503"/>
      <c r="X868" s="506"/>
      <c r="Y868" s="506"/>
      <c r="Z868" s="506"/>
      <c r="AA868" s="436"/>
      <c r="AB868" s="436"/>
      <c r="AC868" s="436"/>
      <c r="AD868" s="436"/>
      <c r="AE868" s="508"/>
      <c r="AF868" s="508"/>
      <c r="AG868" s="508"/>
      <c r="AH868" s="508"/>
      <c r="AI868" s="436"/>
      <c r="AJ868" s="436"/>
      <c r="AK868" s="436"/>
      <c r="AL868" s="436"/>
      <c r="AM868" s="436"/>
      <c r="AN868" s="436"/>
      <c r="AO868" s="436"/>
      <c r="AP868" s="436"/>
      <c r="AQ868" s="436"/>
      <c r="AR868" s="436"/>
      <c r="AS868" s="436"/>
      <c r="AT868" s="436"/>
      <c r="AU868" s="436"/>
      <c r="AV868" s="436"/>
      <c r="AW868" s="436"/>
      <c r="AX868" s="436"/>
      <c r="AY868" s="436"/>
      <c r="AZ868" s="436"/>
      <c r="BA868" s="436"/>
      <c r="BB868" s="436"/>
      <c r="BC868" s="436"/>
      <c r="BD868" s="436"/>
      <c r="BE868" s="436"/>
      <c r="BF868" s="436"/>
      <c r="BG868" s="436"/>
      <c r="BH868" s="436"/>
      <c r="BI868" s="436"/>
      <c r="BJ868" s="436"/>
      <c r="BK868" s="436"/>
      <c r="BL868" s="436"/>
      <c r="BM868" s="436"/>
      <c r="BN868" s="436"/>
      <c r="BO868" s="339"/>
      <c r="BP868" s="436"/>
      <c r="BQ868" s="436"/>
      <c r="BR868" s="436"/>
      <c r="BS868" s="436"/>
      <c r="BT868" s="436"/>
      <c r="BU868" s="436"/>
      <c r="BV868" s="436"/>
      <c r="BW868" s="436"/>
      <c r="BX868" s="1"/>
      <c r="BY868" s="1"/>
      <c r="BZ868" s="1"/>
      <c r="CA868" s="1"/>
      <c r="CB868" s="1"/>
      <c r="CC868" s="1"/>
      <c r="CD868" s="1"/>
      <c r="CE868" s="1"/>
      <c r="CF868" s="1"/>
      <c r="CG868" s="1"/>
    </row>
    <row r="869" spans="1:85" ht="15.75" customHeight="1">
      <c r="A869" s="500"/>
      <c r="B869" s="216"/>
      <c r="C869" s="527"/>
      <c r="D869" s="216"/>
      <c r="E869" s="503"/>
      <c r="F869" s="436"/>
      <c r="G869" s="436"/>
      <c r="H869" s="503"/>
      <c r="I869" s="504"/>
      <c r="J869" s="504"/>
      <c r="K869" s="503"/>
      <c r="L869" s="505"/>
      <c r="M869" s="436"/>
      <c r="N869" s="503"/>
      <c r="O869" s="436"/>
      <c r="P869" s="436"/>
      <c r="Q869" s="436"/>
      <c r="R869" s="436"/>
      <c r="S869" s="436"/>
      <c r="T869" s="436"/>
      <c r="U869" s="503"/>
      <c r="V869" s="503"/>
      <c r="W869" s="503"/>
      <c r="X869" s="506"/>
      <c r="Y869" s="506"/>
      <c r="Z869" s="506"/>
      <c r="AA869" s="436"/>
      <c r="AB869" s="436"/>
      <c r="AC869" s="436"/>
      <c r="AD869" s="436"/>
      <c r="AE869" s="508"/>
      <c r="AF869" s="508"/>
      <c r="AG869" s="508"/>
      <c r="AH869" s="508"/>
      <c r="AI869" s="436"/>
      <c r="AJ869" s="436"/>
      <c r="AK869" s="436"/>
      <c r="AL869" s="436"/>
      <c r="AM869" s="436"/>
      <c r="AN869" s="436"/>
      <c r="AO869" s="436"/>
      <c r="AP869" s="436"/>
      <c r="AQ869" s="436"/>
      <c r="AR869" s="436"/>
      <c r="AS869" s="436"/>
      <c r="AT869" s="436"/>
      <c r="AU869" s="436"/>
      <c r="AV869" s="436"/>
      <c r="AW869" s="436"/>
      <c r="AX869" s="436"/>
      <c r="AY869" s="436"/>
      <c r="AZ869" s="436"/>
      <c r="BA869" s="436"/>
      <c r="BB869" s="436"/>
      <c r="BC869" s="436"/>
      <c r="BD869" s="436"/>
      <c r="BE869" s="436"/>
      <c r="BF869" s="436"/>
      <c r="BG869" s="436"/>
      <c r="BH869" s="436"/>
      <c r="BI869" s="436"/>
      <c r="BJ869" s="436"/>
      <c r="BK869" s="436"/>
      <c r="BL869" s="436"/>
      <c r="BM869" s="436"/>
      <c r="BN869" s="436"/>
      <c r="BO869" s="339"/>
      <c r="BP869" s="436"/>
      <c r="BQ869" s="436"/>
      <c r="BR869" s="436"/>
      <c r="BS869" s="436"/>
      <c r="BT869" s="436"/>
      <c r="BU869" s="436"/>
      <c r="BV869" s="436"/>
      <c r="BW869" s="436"/>
      <c r="BX869" s="1"/>
      <c r="BY869" s="1"/>
      <c r="BZ869" s="1"/>
      <c r="CA869" s="1"/>
      <c r="CB869" s="1"/>
      <c r="CC869" s="1"/>
      <c r="CD869" s="1"/>
      <c r="CE869" s="1"/>
      <c r="CF869" s="1"/>
      <c r="CG869" s="1"/>
    </row>
    <row r="870" spans="1:85" ht="15.75" customHeight="1">
      <c r="A870" s="500"/>
      <c r="B870" s="216"/>
      <c r="C870" s="527"/>
      <c r="D870" s="216"/>
      <c r="E870" s="503"/>
      <c r="F870" s="436"/>
      <c r="G870" s="436"/>
      <c r="H870" s="503"/>
      <c r="I870" s="504"/>
      <c r="J870" s="504"/>
      <c r="K870" s="503"/>
      <c r="L870" s="505"/>
      <c r="M870" s="436"/>
      <c r="N870" s="503"/>
      <c r="O870" s="436"/>
      <c r="P870" s="436"/>
      <c r="Q870" s="436"/>
      <c r="R870" s="436"/>
      <c r="S870" s="436"/>
      <c r="T870" s="436"/>
      <c r="U870" s="503"/>
      <c r="V870" s="503"/>
      <c r="W870" s="503"/>
      <c r="X870" s="506"/>
      <c r="Y870" s="506"/>
      <c r="Z870" s="506"/>
      <c r="AA870" s="436"/>
      <c r="AB870" s="436"/>
      <c r="AC870" s="436"/>
      <c r="AD870" s="436"/>
      <c r="AE870" s="508"/>
      <c r="AF870" s="508"/>
      <c r="AG870" s="508"/>
      <c r="AH870" s="508"/>
      <c r="AI870" s="436"/>
      <c r="AJ870" s="436"/>
      <c r="AK870" s="436"/>
      <c r="AL870" s="436"/>
      <c r="AM870" s="436"/>
      <c r="AN870" s="436"/>
      <c r="AO870" s="436"/>
      <c r="AP870" s="436"/>
      <c r="AQ870" s="436"/>
      <c r="AR870" s="436"/>
      <c r="AS870" s="436"/>
      <c r="AT870" s="436"/>
      <c r="AU870" s="436"/>
      <c r="AV870" s="436"/>
      <c r="AW870" s="436"/>
      <c r="AX870" s="436"/>
      <c r="AY870" s="436"/>
      <c r="AZ870" s="436"/>
      <c r="BA870" s="436"/>
      <c r="BB870" s="436"/>
      <c r="BC870" s="436"/>
      <c r="BD870" s="436"/>
      <c r="BE870" s="436"/>
      <c r="BF870" s="436"/>
      <c r="BG870" s="436"/>
      <c r="BH870" s="436"/>
      <c r="BI870" s="436"/>
      <c r="BJ870" s="436"/>
      <c r="BK870" s="436"/>
      <c r="BL870" s="436"/>
      <c r="BM870" s="436"/>
      <c r="BN870" s="436"/>
      <c r="BO870" s="339"/>
      <c r="BP870" s="436"/>
      <c r="BQ870" s="436"/>
      <c r="BR870" s="436"/>
      <c r="BS870" s="436"/>
      <c r="BT870" s="436"/>
      <c r="BU870" s="436"/>
      <c r="BV870" s="436"/>
      <c r="BW870" s="436"/>
      <c r="BX870" s="1"/>
      <c r="BY870" s="1"/>
      <c r="BZ870" s="1"/>
      <c r="CA870" s="1"/>
      <c r="CB870" s="1"/>
      <c r="CC870" s="1"/>
      <c r="CD870" s="1"/>
      <c r="CE870" s="1"/>
      <c r="CF870" s="1"/>
      <c r="CG870" s="1"/>
    </row>
    <row r="871" spans="1:85" ht="15.75" customHeight="1">
      <c r="A871" s="500"/>
      <c r="B871" s="216"/>
      <c r="C871" s="527"/>
      <c r="D871" s="216"/>
      <c r="E871" s="503"/>
      <c r="F871" s="436"/>
      <c r="G871" s="436"/>
      <c r="H871" s="503"/>
      <c r="I871" s="504"/>
      <c r="J871" s="504"/>
      <c r="K871" s="503"/>
      <c r="L871" s="505"/>
      <c r="M871" s="436"/>
      <c r="N871" s="503"/>
      <c r="O871" s="436"/>
      <c r="P871" s="436"/>
      <c r="Q871" s="436"/>
      <c r="R871" s="436"/>
      <c r="S871" s="436"/>
      <c r="T871" s="436"/>
      <c r="U871" s="503"/>
      <c r="V871" s="503"/>
      <c r="W871" s="503"/>
      <c r="X871" s="506"/>
      <c r="Y871" s="506"/>
      <c r="Z871" s="506"/>
      <c r="AA871" s="436"/>
      <c r="AB871" s="436"/>
      <c r="AC871" s="436"/>
      <c r="AD871" s="436"/>
      <c r="AE871" s="508"/>
      <c r="AF871" s="508"/>
      <c r="AG871" s="508"/>
      <c r="AH871" s="508"/>
      <c r="AI871" s="436"/>
      <c r="AJ871" s="436"/>
      <c r="AK871" s="436"/>
      <c r="AL871" s="436"/>
      <c r="AM871" s="436"/>
      <c r="AN871" s="436"/>
      <c r="AO871" s="436"/>
      <c r="AP871" s="436"/>
      <c r="AQ871" s="436"/>
      <c r="AR871" s="436"/>
      <c r="AS871" s="436"/>
      <c r="AT871" s="436"/>
      <c r="AU871" s="436"/>
      <c r="AV871" s="436"/>
      <c r="AW871" s="436"/>
      <c r="AX871" s="436"/>
      <c r="AY871" s="436"/>
      <c r="AZ871" s="436"/>
      <c r="BA871" s="436"/>
      <c r="BB871" s="436"/>
      <c r="BC871" s="436"/>
      <c r="BD871" s="436"/>
      <c r="BE871" s="436"/>
      <c r="BF871" s="436"/>
      <c r="BG871" s="436"/>
      <c r="BH871" s="436"/>
      <c r="BI871" s="436"/>
      <c r="BJ871" s="436"/>
      <c r="BK871" s="436"/>
      <c r="BL871" s="436"/>
      <c r="BM871" s="436"/>
      <c r="BN871" s="436"/>
      <c r="BO871" s="339"/>
      <c r="BP871" s="436"/>
      <c r="BQ871" s="436"/>
      <c r="BR871" s="436"/>
      <c r="BS871" s="436"/>
      <c r="BT871" s="436"/>
      <c r="BU871" s="436"/>
      <c r="BV871" s="436"/>
      <c r="BW871" s="436"/>
      <c r="BX871" s="1"/>
      <c r="BY871" s="1"/>
      <c r="BZ871" s="1"/>
      <c r="CA871" s="1"/>
      <c r="CB871" s="1"/>
      <c r="CC871" s="1"/>
      <c r="CD871" s="1"/>
      <c r="CE871" s="1"/>
      <c r="CF871" s="1"/>
      <c r="CG871" s="1"/>
    </row>
    <row r="872" spans="1:85" ht="15.75" customHeight="1">
      <c r="A872" s="500"/>
      <c r="B872" s="216"/>
      <c r="C872" s="527"/>
      <c r="D872" s="216"/>
      <c r="E872" s="503"/>
      <c r="F872" s="436"/>
      <c r="G872" s="436"/>
      <c r="H872" s="503"/>
      <c r="I872" s="504"/>
      <c r="J872" s="504"/>
      <c r="K872" s="503"/>
      <c r="L872" s="505"/>
      <c r="M872" s="436"/>
      <c r="N872" s="503"/>
      <c r="O872" s="436"/>
      <c r="P872" s="436"/>
      <c r="Q872" s="436"/>
      <c r="R872" s="436"/>
      <c r="S872" s="436"/>
      <c r="T872" s="436"/>
      <c r="U872" s="503"/>
      <c r="V872" s="503"/>
      <c r="W872" s="503"/>
      <c r="X872" s="506"/>
      <c r="Y872" s="506"/>
      <c r="Z872" s="506"/>
      <c r="AA872" s="436"/>
      <c r="AB872" s="436"/>
      <c r="AC872" s="436"/>
      <c r="AD872" s="436"/>
      <c r="AE872" s="508"/>
      <c r="AF872" s="508"/>
      <c r="AG872" s="508"/>
      <c r="AH872" s="508"/>
      <c r="AI872" s="436"/>
      <c r="AJ872" s="436"/>
      <c r="AK872" s="436"/>
      <c r="AL872" s="436"/>
      <c r="AM872" s="436"/>
      <c r="AN872" s="436"/>
      <c r="AO872" s="436"/>
      <c r="AP872" s="436"/>
      <c r="AQ872" s="436"/>
      <c r="AR872" s="436"/>
      <c r="AS872" s="436"/>
      <c r="AT872" s="436"/>
      <c r="AU872" s="436"/>
      <c r="AV872" s="436"/>
      <c r="AW872" s="436"/>
      <c r="AX872" s="436"/>
      <c r="AY872" s="436"/>
      <c r="AZ872" s="436"/>
      <c r="BA872" s="436"/>
      <c r="BB872" s="436"/>
      <c r="BC872" s="436"/>
      <c r="BD872" s="436"/>
      <c r="BE872" s="436"/>
      <c r="BF872" s="436"/>
      <c r="BG872" s="436"/>
      <c r="BH872" s="436"/>
      <c r="BI872" s="436"/>
      <c r="BJ872" s="436"/>
      <c r="BK872" s="436"/>
      <c r="BL872" s="436"/>
      <c r="BM872" s="436"/>
      <c r="BN872" s="436"/>
      <c r="BO872" s="339"/>
      <c r="BP872" s="436"/>
      <c r="BQ872" s="436"/>
      <c r="BR872" s="436"/>
      <c r="BS872" s="436"/>
      <c r="BT872" s="436"/>
      <c r="BU872" s="436"/>
      <c r="BV872" s="436"/>
      <c r="BW872" s="436"/>
      <c r="BX872" s="1"/>
      <c r="BY872" s="1"/>
      <c r="BZ872" s="1"/>
      <c r="CA872" s="1"/>
      <c r="CB872" s="1"/>
      <c r="CC872" s="1"/>
      <c r="CD872" s="1"/>
      <c r="CE872" s="1"/>
      <c r="CF872" s="1"/>
      <c r="CG872" s="1"/>
    </row>
    <row r="873" spans="1:85" ht="15.75" customHeight="1">
      <c r="A873" s="500"/>
      <c r="B873" s="216"/>
      <c r="C873" s="527"/>
      <c r="D873" s="216"/>
      <c r="E873" s="503"/>
      <c r="F873" s="436"/>
      <c r="G873" s="436"/>
      <c r="H873" s="503"/>
      <c r="I873" s="504"/>
      <c r="J873" s="504"/>
      <c r="K873" s="503"/>
      <c r="L873" s="505"/>
      <c r="M873" s="436"/>
      <c r="N873" s="503"/>
      <c r="O873" s="436"/>
      <c r="P873" s="436"/>
      <c r="Q873" s="436"/>
      <c r="R873" s="436"/>
      <c r="S873" s="436"/>
      <c r="T873" s="436"/>
      <c r="U873" s="503"/>
      <c r="V873" s="503"/>
      <c r="W873" s="503"/>
      <c r="X873" s="506"/>
      <c r="Y873" s="506"/>
      <c r="Z873" s="506"/>
      <c r="AA873" s="436"/>
      <c r="AB873" s="436"/>
      <c r="AC873" s="436"/>
      <c r="AD873" s="436"/>
      <c r="AE873" s="508"/>
      <c r="AF873" s="508"/>
      <c r="AG873" s="508"/>
      <c r="AH873" s="508"/>
      <c r="AI873" s="436"/>
      <c r="AJ873" s="436"/>
      <c r="AK873" s="436"/>
      <c r="AL873" s="436"/>
      <c r="AM873" s="436"/>
      <c r="AN873" s="436"/>
      <c r="AO873" s="436"/>
      <c r="AP873" s="436"/>
      <c r="AQ873" s="436"/>
      <c r="AR873" s="436"/>
      <c r="AS873" s="436"/>
      <c r="AT873" s="436"/>
      <c r="AU873" s="436"/>
      <c r="AV873" s="436"/>
      <c r="AW873" s="436"/>
      <c r="AX873" s="436"/>
      <c r="AY873" s="436"/>
      <c r="AZ873" s="436"/>
      <c r="BA873" s="436"/>
      <c r="BB873" s="436"/>
      <c r="BC873" s="436"/>
      <c r="BD873" s="436"/>
      <c r="BE873" s="436"/>
      <c r="BF873" s="436"/>
      <c r="BG873" s="436"/>
      <c r="BH873" s="436"/>
      <c r="BI873" s="436"/>
      <c r="BJ873" s="436"/>
      <c r="BK873" s="436"/>
      <c r="BL873" s="436"/>
      <c r="BM873" s="436"/>
      <c r="BN873" s="436"/>
      <c r="BO873" s="339"/>
      <c r="BP873" s="436"/>
      <c r="BQ873" s="436"/>
      <c r="BR873" s="436"/>
      <c r="BS873" s="436"/>
      <c r="BT873" s="436"/>
      <c r="BU873" s="436"/>
      <c r="BV873" s="436"/>
      <c r="BW873" s="436"/>
      <c r="BX873" s="1"/>
      <c r="BY873" s="1"/>
      <c r="BZ873" s="1"/>
      <c r="CA873" s="1"/>
      <c r="CB873" s="1"/>
      <c r="CC873" s="1"/>
      <c r="CD873" s="1"/>
      <c r="CE873" s="1"/>
      <c r="CF873" s="1"/>
      <c r="CG873" s="1"/>
    </row>
    <row r="874" spans="1:85" ht="15.75" customHeight="1">
      <c r="A874" s="500"/>
      <c r="B874" s="216"/>
      <c r="C874" s="527"/>
      <c r="D874" s="216"/>
      <c r="E874" s="503"/>
      <c r="F874" s="436"/>
      <c r="G874" s="436"/>
      <c r="H874" s="503"/>
      <c r="I874" s="504"/>
      <c r="J874" s="504"/>
      <c r="K874" s="503"/>
      <c r="L874" s="505"/>
      <c r="M874" s="436"/>
      <c r="N874" s="503"/>
      <c r="O874" s="436"/>
      <c r="P874" s="436"/>
      <c r="Q874" s="436"/>
      <c r="R874" s="436"/>
      <c r="S874" s="436"/>
      <c r="T874" s="436"/>
      <c r="U874" s="503"/>
      <c r="V874" s="503"/>
      <c r="W874" s="503"/>
      <c r="X874" s="506"/>
      <c r="Y874" s="506"/>
      <c r="Z874" s="506"/>
      <c r="AA874" s="436"/>
      <c r="AB874" s="436"/>
      <c r="AC874" s="436"/>
      <c r="AD874" s="436"/>
      <c r="AE874" s="508"/>
      <c r="AF874" s="508"/>
      <c r="AG874" s="508"/>
      <c r="AH874" s="508"/>
      <c r="AI874" s="436"/>
      <c r="AJ874" s="436"/>
      <c r="AK874" s="436"/>
      <c r="AL874" s="436"/>
      <c r="AM874" s="436"/>
      <c r="AN874" s="436"/>
      <c r="AO874" s="436"/>
      <c r="AP874" s="436"/>
      <c r="AQ874" s="436"/>
      <c r="AR874" s="436"/>
      <c r="AS874" s="436"/>
      <c r="AT874" s="436"/>
      <c r="AU874" s="436"/>
      <c r="AV874" s="436"/>
      <c r="AW874" s="436"/>
      <c r="AX874" s="436"/>
      <c r="AY874" s="436"/>
      <c r="AZ874" s="436"/>
      <c r="BA874" s="436"/>
      <c r="BB874" s="436"/>
      <c r="BC874" s="436"/>
      <c r="BD874" s="436"/>
      <c r="BE874" s="436"/>
      <c r="BF874" s="436"/>
      <c r="BG874" s="436"/>
      <c r="BH874" s="436"/>
      <c r="BI874" s="436"/>
      <c r="BJ874" s="436"/>
      <c r="BK874" s="436"/>
      <c r="BL874" s="436"/>
      <c r="BM874" s="436"/>
      <c r="BN874" s="436"/>
      <c r="BO874" s="339"/>
      <c r="BP874" s="436"/>
      <c r="BQ874" s="436"/>
      <c r="BR874" s="436"/>
      <c r="BS874" s="436"/>
      <c r="BT874" s="436"/>
      <c r="BU874" s="436"/>
      <c r="BV874" s="436"/>
      <c r="BW874" s="436"/>
      <c r="BX874" s="1"/>
      <c r="BY874" s="1"/>
      <c r="BZ874" s="1"/>
      <c r="CA874" s="1"/>
      <c r="CB874" s="1"/>
      <c r="CC874" s="1"/>
      <c r="CD874" s="1"/>
      <c r="CE874" s="1"/>
      <c r="CF874" s="1"/>
      <c r="CG874" s="1"/>
    </row>
    <row r="875" spans="1:85" ht="15.75" customHeight="1">
      <c r="A875" s="500"/>
      <c r="B875" s="216"/>
      <c r="C875" s="527"/>
      <c r="D875" s="216"/>
      <c r="E875" s="503"/>
      <c r="F875" s="436"/>
      <c r="G875" s="436"/>
      <c r="H875" s="503"/>
      <c r="I875" s="504"/>
      <c r="J875" s="504"/>
      <c r="K875" s="503"/>
      <c r="L875" s="505"/>
      <c r="M875" s="436"/>
      <c r="N875" s="503"/>
      <c r="O875" s="436"/>
      <c r="P875" s="436"/>
      <c r="Q875" s="436"/>
      <c r="R875" s="436"/>
      <c r="S875" s="436"/>
      <c r="T875" s="436"/>
      <c r="U875" s="503"/>
      <c r="V875" s="503"/>
      <c r="W875" s="503"/>
      <c r="X875" s="506"/>
      <c r="Y875" s="506"/>
      <c r="Z875" s="506"/>
      <c r="AA875" s="436"/>
      <c r="AB875" s="436"/>
      <c r="AC875" s="436"/>
      <c r="AD875" s="436"/>
      <c r="AE875" s="508"/>
      <c r="AF875" s="508"/>
      <c r="AG875" s="508"/>
      <c r="AH875" s="508"/>
      <c r="AI875" s="436"/>
      <c r="AJ875" s="436"/>
      <c r="AK875" s="436"/>
      <c r="AL875" s="436"/>
      <c r="AM875" s="436"/>
      <c r="AN875" s="436"/>
      <c r="AO875" s="436"/>
      <c r="AP875" s="436"/>
      <c r="AQ875" s="436"/>
      <c r="AR875" s="436"/>
      <c r="AS875" s="436"/>
      <c r="AT875" s="436"/>
      <c r="AU875" s="436"/>
      <c r="AV875" s="436"/>
      <c r="AW875" s="436"/>
      <c r="AX875" s="436"/>
      <c r="AY875" s="436"/>
      <c r="AZ875" s="436"/>
      <c r="BA875" s="436"/>
      <c r="BB875" s="436"/>
      <c r="BC875" s="436"/>
      <c r="BD875" s="436"/>
      <c r="BE875" s="436"/>
      <c r="BF875" s="436"/>
      <c r="BG875" s="436"/>
      <c r="BH875" s="436"/>
      <c r="BI875" s="436"/>
      <c r="BJ875" s="436"/>
      <c r="BK875" s="436"/>
      <c r="BL875" s="436"/>
      <c r="BM875" s="436"/>
      <c r="BN875" s="436"/>
      <c r="BO875" s="339"/>
      <c r="BP875" s="436"/>
      <c r="BQ875" s="436"/>
      <c r="BR875" s="436"/>
      <c r="BS875" s="436"/>
      <c r="BT875" s="436"/>
      <c r="BU875" s="436"/>
      <c r="BV875" s="436"/>
      <c r="BW875" s="436"/>
      <c r="BX875" s="1"/>
      <c r="BY875" s="1"/>
      <c r="BZ875" s="1"/>
      <c r="CA875" s="1"/>
      <c r="CB875" s="1"/>
      <c r="CC875" s="1"/>
      <c r="CD875" s="1"/>
      <c r="CE875" s="1"/>
      <c r="CF875" s="1"/>
      <c r="CG875" s="1"/>
    </row>
    <row r="876" spans="1:85" ht="15.75" customHeight="1">
      <c r="A876" s="500"/>
      <c r="B876" s="216"/>
      <c r="C876" s="527"/>
      <c r="D876" s="216"/>
      <c r="E876" s="503"/>
      <c r="F876" s="436"/>
      <c r="G876" s="436"/>
      <c r="H876" s="503"/>
      <c r="I876" s="504"/>
      <c r="J876" s="504"/>
      <c r="K876" s="503"/>
      <c r="L876" s="505"/>
      <c r="M876" s="436"/>
      <c r="N876" s="503"/>
      <c r="O876" s="436"/>
      <c r="P876" s="436"/>
      <c r="Q876" s="436"/>
      <c r="R876" s="436"/>
      <c r="S876" s="436"/>
      <c r="T876" s="436"/>
      <c r="U876" s="503"/>
      <c r="V876" s="503"/>
      <c r="W876" s="503"/>
      <c r="X876" s="506"/>
      <c r="Y876" s="506"/>
      <c r="Z876" s="506"/>
      <c r="AA876" s="436"/>
      <c r="AB876" s="436"/>
      <c r="AC876" s="436"/>
      <c r="AD876" s="436"/>
      <c r="AE876" s="508"/>
      <c r="AF876" s="508"/>
      <c r="AG876" s="508"/>
      <c r="AH876" s="508"/>
      <c r="AI876" s="436"/>
      <c r="AJ876" s="436"/>
      <c r="AK876" s="436"/>
      <c r="AL876" s="436"/>
      <c r="AM876" s="436"/>
      <c r="AN876" s="436"/>
      <c r="AO876" s="436"/>
      <c r="AP876" s="436"/>
      <c r="AQ876" s="436"/>
      <c r="AR876" s="436"/>
      <c r="AS876" s="436"/>
      <c r="AT876" s="436"/>
      <c r="AU876" s="436"/>
      <c r="AV876" s="436"/>
      <c r="AW876" s="436"/>
      <c r="AX876" s="436"/>
      <c r="AY876" s="436"/>
      <c r="AZ876" s="436"/>
      <c r="BA876" s="436"/>
      <c r="BB876" s="436"/>
      <c r="BC876" s="436"/>
      <c r="BD876" s="436"/>
      <c r="BE876" s="436"/>
      <c r="BF876" s="436"/>
      <c r="BG876" s="436"/>
      <c r="BH876" s="436"/>
      <c r="BI876" s="436"/>
      <c r="BJ876" s="436"/>
      <c r="BK876" s="436"/>
      <c r="BL876" s="436"/>
      <c r="BM876" s="436"/>
      <c r="BN876" s="436"/>
      <c r="BO876" s="339"/>
      <c r="BP876" s="436"/>
      <c r="BQ876" s="436"/>
      <c r="BR876" s="436"/>
      <c r="BS876" s="436"/>
      <c r="BT876" s="436"/>
      <c r="BU876" s="436"/>
      <c r="BV876" s="436"/>
      <c r="BW876" s="436"/>
      <c r="BX876" s="1"/>
      <c r="BY876" s="1"/>
      <c r="BZ876" s="1"/>
      <c r="CA876" s="1"/>
      <c r="CB876" s="1"/>
      <c r="CC876" s="1"/>
      <c r="CD876" s="1"/>
      <c r="CE876" s="1"/>
      <c r="CF876" s="1"/>
      <c r="CG876" s="1"/>
    </row>
    <row r="877" spans="1:85" ht="15.75" customHeight="1">
      <c r="A877" s="500"/>
      <c r="B877" s="216"/>
      <c r="C877" s="527"/>
      <c r="D877" s="216"/>
      <c r="E877" s="503"/>
      <c r="F877" s="436"/>
      <c r="G877" s="436"/>
      <c r="H877" s="503"/>
      <c r="I877" s="504"/>
      <c r="J877" s="504"/>
      <c r="K877" s="503"/>
      <c r="L877" s="505"/>
      <c r="M877" s="436"/>
      <c r="N877" s="503"/>
      <c r="O877" s="436"/>
      <c r="P877" s="436"/>
      <c r="Q877" s="436"/>
      <c r="R877" s="436"/>
      <c r="S877" s="436"/>
      <c r="T877" s="436"/>
      <c r="U877" s="503"/>
      <c r="V877" s="503"/>
      <c r="W877" s="503"/>
      <c r="X877" s="506"/>
      <c r="Y877" s="506"/>
      <c r="Z877" s="506"/>
      <c r="AA877" s="436"/>
      <c r="AB877" s="436"/>
      <c r="AC877" s="436"/>
      <c r="AD877" s="436"/>
      <c r="AE877" s="508"/>
      <c r="AF877" s="508"/>
      <c r="AG877" s="508"/>
      <c r="AH877" s="508"/>
      <c r="AI877" s="436"/>
      <c r="AJ877" s="436"/>
      <c r="AK877" s="436"/>
      <c r="AL877" s="436"/>
      <c r="AM877" s="436"/>
      <c r="AN877" s="436"/>
      <c r="AO877" s="436"/>
      <c r="AP877" s="436"/>
      <c r="AQ877" s="436"/>
      <c r="AR877" s="436"/>
      <c r="AS877" s="436"/>
      <c r="AT877" s="436"/>
      <c r="AU877" s="436"/>
      <c r="AV877" s="436"/>
      <c r="AW877" s="436"/>
      <c r="AX877" s="436"/>
      <c r="AY877" s="436"/>
      <c r="AZ877" s="436"/>
      <c r="BA877" s="436"/>
      <c r="BB877" s="436"/>
      <c r="BC877" s="436"/>
      <c r="BD877" s="436"/>
      <c r="BE877" s="436"/>
      <c r="BF877" s="436"/>
      <c r="BG877" s="436"/>
      <c r="BH877" s="436"/>
      <c r="BI877" s="436"/>
      <c r="BJ877" s="436"/>
      <c r="BK877" s="436"/>
      <c r="BL877" s="436"/>
      <c r="BM877" s="436"/>
      <c r="BN877" s="436"/>
      <c r="BO877" s="339"/>
      <c r="BP877" s="436"/>
      <c r="BQ877" s="436"/>
      <c r="BR877" s="436"/>
      <c r="BS877" s="436"/>
      <c r="BT877" s="436"/>
      <c r="BU877" s="436"/>
      <c r="BV877" s="436"/>
      <c r="BW877" s="436"/>
      <c r="BX877" s="1"/>
      <c r="BY877" s="1"/>
      <c r="BZ877" s="1"/>
      <c r="CA877" s="1"/>
      <c r="CB877" s="1"/>
      <c r="CC877" s="1"/>
      <c r="CD877" s="1"/>
      <c r="CE877" s="1"/>
      <c r="CF877" s="1"/>
      <c r="CG877" s="1"/>
    </row>
    <row r="878" spans="1:85" ht="15.75" customHeight="1">
      <c r="A878" s="500"/>
      <c r="B878" s="216"/>
      <c r="C878" s="527"/>
      <c r="D878" s="216"/>
      <c r="E878" s="503"/>
      <c r="F878" s="436"/>
      <c r="G878" s="436"/>
      <c r="H878" s="503"/>
      <c r="I878" s="504"/>
      <c r="J878" s="504"/>
      <c r="K878" s="503"/>
      <c r="L878" s="505"/>
      <c r="M878" s="436"/>
      <c r="N878" s="503"/>
      <c r="O878" s="436"/>
      <c r="P878" s="436"/>
      <c r="Q878" s="436"/>
      <c r="R878" s="436"/>
      <c r="S878" s="436"/>
      <c r="T878" s="436"/>
      <c r="U878" s="503"/>
      <c r="V878" s="503"/>
      <c r="W878" s="503"/>
      <c r="X878" s="506"/>
      <c r="Y878" s="506"/>
      <c r="Z878" s="506"/>
      <c r="AA878" s="436"/>
      <c r="AB878" s="436"/>
      <c r="AC878" s="436"/>
      <c r="AD878" s="436"/>
      <c r="AE878" s="508"/>
      <c r="AF878" s="508"/>
      <c r="AG878" s="508"/>
      <c r="AH878" s="508"/>
      <c r="AI878" s="436"/>
      <c r="AJ878" s="436"/>
      <c r="AK878" s="436"/>
      <c r="AL878" s="436"/>
      <c r="AM878" s="436"/>
      <c r="AN878" s="436"/>
      <c r="AO878" s="436"/>
      <c r="AP878" s="436"/>
      <c r="AQ878" s="436"/>
      <c r="AR878" s="436"/>
      <c r="AS878" s="436"/>
      <c r="AT878" s="436"/>
      <c r="AU878" s="436"/>
      <c r="AV878" s="436"/>
      <c r="AW878" s="436"/>
      <c r="AX878" s="436"/>
      <c r="AY878" s="436"/>
      <c r="AZ878" s="436"/>
      <c r="BA878" s="436"/>
      <c r="BB878" s="436"/>
      <c r="BC878" s="436"/>
      <c r="BD878" s="436"/>
      <c r="BE878" s="436"/>
      <c r="BF878" s="436"/>
      <c r="BG878" s="436"/>
      <c r="BH878" s="436"/>
      <c r="BI878" s="436"/>
      <c r="BJ878" s="436"/>
      <c r="BK878" s="436"/>
      <c r="BL878" s="436"/>
      <c r="BM878" s="436"/>
      <c r="BN878" s="436"/>
      <c r="BO878" s="339"/>
      <c r="BP878" s="436"/>
      <c r="BQ878" s="436"/>
      <c r="BR878" s="436"/>
      <c r="BS878" s="436"/>
      <c r="BT878" s="436"/>
      <c r="BU878" s="436"/>
      <c r="BV878" s="436"/>
      <c r="BW878" s="436"/>
      <c r="BX878" s="1"/>
      <c r="BY878" s="1"/>
      <c r="BZ878" s="1"/>
      <c r="CA878" s="1"/>
      <c r="CB878" s="1"/>
      <c r="CC878" s="1"/>
      <c r="CD878" s="1"/>
      <c r="CE878" s="1"/>
      <c r="CF878" s="1"/>
      <c r="CG878" s="1"/>
    </row>
    <row r="879" spans="1:85" ht="15.75" customHeight="1">
      <c r="A879" s="500"/>
      <c r="B879" s="216"/>
      <c r="C879" s="527"/>
      <c r="D879" s="216"/>
      <c r="E879" s="503"/>
      <c r="F879" s="436"/>
      <c r="G879" s="436"/>
      <c r="H879" s="503"/>
      <c r="I879" s="504"/>
      <c r="J879" s="504"/>
      <c r="K879" s="503"/>
      <c r="L879" s="505"/>
      <c r="M879" s="436"/>
      <c r="N879" s="503"/>
      <c r="O879" s="436"/>
      <c r="P879" s="436"/>
      <c r="Q879" s="436"/>
      <c r="R879" s="436"/>
      <c r="S879" s="436"/>
      <c r="T879" s="436"/>
      <c r="U879" s="503"/>
      <c r="V879" s="503"/>
      <c r="W879" s="503"/>
      <c r="X879" s="506"/>
      <c r="Y879" s="506"/>
      <c r="Z879" s="506"/>
      <c r="AA879" s="436"/>
      <c r="AB879" s="436"/>
      <c r="AC879" s="436"/>
      <c r="AD879" s="436"/>
      <c r="AE879" s="508"/>
      <c r="AF879" s="508"/>
      <c r="AG879" s="508"/>
      <c r="AH879" s="508"/>
      <c r="AI879" s="436"/>
      <c r="AJ879" s="436"/>
      <c r="AK879" s="436"/>
      <c r="AL879" s="436"/>
      <c r="AM879" s="436"/>
      <c r="AN879" s="436"/>
      <c r="AO879" s="436"/>
      <c r="AP879" s="436"/>
      <c r="AQ879" s="436"/>
      <c r="AR879" s="436"/>
      <c r="AS879" s="436"/>
      <c r="AT879" s="436"/>
      <c r="AU879" s="436"/>
      <c r="AV879" s="436"/>
      <c r="AW879" s="436"/>
      <c r="AX879" s="436"/>
      <c r="AY879" s="436"/>
      <c r="AZ879" s="436"/>
      <c r="BA879" s="436"/>
      <c r="BB879" s="436"/>
      <c r="BC879" s="436"/>
      <c r="BD879" s="436"/>
      <c r="BE879" s="436"/>
      <c r="BF879" s="436"/>
      <c r="BG879" s="436"/>
      <c r="BH879" s="436"/>
      <c r="BI879" s="436"/>
      <c r="BJ879" s="436"/>
      <c r="BK879" s="436"/>
      <c r="BL879" s="436"/>
      <c r="BM879" s="436"/>
      <c r="BN879" s="436"/>
      <c r="BO879" s="339"/>
      <c r="BP879" s="436"/>
      <c r="BQ879" s="436"/>
      <c r="BR879" s="436"/>
      <c r="BS879" s="436"/>
      <c r="BT879" s="436"/>
      <c r="BU879" s="436"/>
      <c r="BV879" s="436"/>
      <c r="BW879" s="436"/>
      <c r="BX879" s="1"/>
      <c r="BY879" s="1"/>
      <c r="BZ879" s="1"/>
      <c r="CA879" s="1"/>
      <c r="CB879" s="1"/>
      <c r="CC879" s="1"/>
      <c r="CD879" s="1"/>
      <c r="CE879" s="1"/>
      <c r="CF879" s="1"/>
      <c r="CG879" s="1"/>
    </row>
    <row r="880" spans="1:85" ht="15.75" customHeight="1">
      <c r="A880" s="500"/>
      <c r="B880" s="216"/>
      <c r="C880" s="527"/>
      <c r="D880" s="216"/>
      <c r="E880" s="503"/>
      <c r="F880" s="436"/>
      <c r="G880" s="436"/>
      <c r="H880" s="503"/>
      <c r="I880" s="504"/>
      <c r="J880" s="504"/>
      <c r="K880" s="503"/>
      <c r="L880" s="505"/>
      <c r="M880" s="436"/>
      <c r="N880" s="503"/>
      <c r="O880" s="436"/>
      <c r="P880" s="436"/>
      <c r="Q880" s="436"/>
      <c r="R880" s="436"/>
      <c r="S880" s="436"/>
      <c r="T880" s="436"/>
      <c r="U880" s="503"/>
      <c r="V880" s="503"/>
      <c r="W880" s="503"/>
      <c r="X880" s="506"/>
      <c r="Y880" s="506"/>
      <c r="Z880" s="506"/>
      <c r="AA880" s="436"/>
      <c r="AB880" s="436"/>
      <c r="AC880" s="436"/>
      <c r="AD880" s="436"/>
      <c r="AE880" s="508"/>
      <c r="AF880" s="508"/>
      <c r="AG880" s="508"/>
      <c r="AH880" s="508"/>
      <c r="AI880" s="436"/>
      <c r="AJ880" s="436"/>
      <c r="AK880" s="436"/>
      <c r="AL880" s="436"/>
      <c r="AM880" s="436"/>
      <c r="AN880" s="436"/>
      <c r="AO880" s="436"/>
      <c r="AP880" s="436"/>
      <c r="AQ880" s="436"/>
      <c r="AR880" s="436"/>
      <c r="AS880" s="436"/>
      <c r="AT880" s="436"/>
      <c r="AU880" s="436"/>
      <c r="AV880" s="436"/>
      <c r="AW880" s="436"/>
      <c r="AX880" s="436"/>
      <c r="AY880" s="436"/>
      <c r="AZ880" s="436"/>
      <c r="BA880" s="436"/>
      <c r="BB880" s="436"/>
      <c r="BC880" s="436"/>
      <c r="BD880" s="436"/>
      <c r="BE880" s="436"/>
      <c r="BF880" s="436"/>
      <c r="BG880" s="436"/>
      <c r="BH880" s="436"/>
      <c r="BI880" s="436"/>
      <c r="BJ880" s="436"/>
      <c r="BK880" s="436"/>
      <c r="BL880" s="436"/>
      <c r="BM880" s="436"/>
      <c r="BN880" s="436"/>
      <c r="BO880" s="339"/>
      <c r="BP880" s="436"/>
      <c r="BQ880" s="436"/>
      <c r="BR880" s="436"/>
      <c r="BS880" s="436"/>
      <c r="BT880" s="436"/>
      <c r="BU880" s="436"/>
      <c r="BV880" s="436"/>
      <c r="BW880" s="436"/>
      <c r="BX880" s="1"/>
      <c r="BY880" s="1"/>
      <c r="BZ880" s="1"/>
      <c r="CA880" s="1"/>
      <c r="CB880" s="1"/>
      <c r="CC880" s="1"/>
      <c r="CD880" s="1"/>
      <c r="CE880" s="1"/>
      <c r="CF880" s="1"/>
      <c r="CG880" s="1"/>
    </row>
    <row r="881" spans="1:85" ht="15.75" customHeight="1">
      <c r="A881" s="500"/>
      <c r="B881" s="216"/>
      <c r="C881" s="527"/>
      <c r="D881" s="216"/>
      <c r="E881" s="503"/>
      <c r="F881" s="436"/>
      <c r="G881" s="436"/>
      <c r="H881" s="503"/>
      <c r="I881" s="504"/>
      <c r="J881" s="504"/>
      <c r="K881" s="503"/>
      <c r="L881" s="505"/>
      <c r="M881" s="436"/>
      <c r="N881" s="503"/>
      <c r="O881" s="436"/>
      <c r="P881" s="436"/>
      <c r="Q881" s="436"/>
      <c r="R881" s="436"/>
      <c r="S881" s="436"/>
      <c r="T881" s="436"/>
      <c r="U881" s="503"/>
      <c r="V881" s="503"/>
      <c r="W881" s="503"/>
      <c r="X881" s="506"/>
      <c r="Y881" s="506"/>
      <c r="Z881" s="506"/>
      <c r="AA881" s="436"/>
      <c r="AB881" s="436"/>
      <c r="AC881" s="436"/>
      <c r="AD881" s="436"/>
      <c r="AE881" s="508"/>
      <c r="AF881" s="508"/>
      <c r="AG881" s="508"/>
      <c r="AH881" s="508"/>
      <c r="AI881" s="436"/>
      <c r="AJ881" s="436"/>
      <c r="AK881" s="436"/>
      <c r="AL881" s="436"/>
      <c r="AM881" s="436"/>
      <c r="AN881" s="436"/>
      <c r="AO881" s="436"/>
      <c r="AP881" s="436"/>
      <c r="AQ881" s="436"/>
      <c r="AR881" s="436"/>
      <c r="AS881" s="436"/>
      <c r="AT881" s="436"/>
      <c r="AU881" s="436"/>
      <c r="AV881" s="436"/>
      <c r="AW881" s="436"/>
      <c r="AX881" s="436"/>
      <c r="AY881" s="436"/>
      <c r="AZ881" s="436"/>
      <c r="BA881" s="436"/>
      <c r="BB881" s="436"/>
      <c r="BC881" s="436"/>
      <c r="BD881" s="436"/>
      <c r="BE881" s="436"/>
      <c r="BF881" s="436"/>
      <c r="BG881" s="436"/>
      <c r="BH881" s="436"/>
      <c r="BI881" s="436"/>
      <c r="BJ881" s="436"/>
      <c r="BK881" s="436"/>
      <c r="BL881" s="436"/>
      <c r="BM881" s="436"/>
      <c r="BN881" s="436"/>
      <c r="BO881" s="339"/>
      <c r="BP881" s="436"/>
      <c r="BQ881" s="436"/>
      <c r="BR881" s="436"/>
      <c r="BS881" s="436"/>
      <c r="BT881" s="436"/>
      <c r="BU881" s="436"/>
      <c r="BV881" s="436"/>
      <c r="BW881" s="436"/>
      <c r="BX881" s="1"/>
      <c r="BY881" s="1"/>
      <c r="BZ881" s="1"/>
      <c r="CA881" s="1"/>
      <c r="CB881" s="1"/>
      <c r="CC881" s="1"/>
      <c r="CD881" s="1"/>
      <c r="CE881" s="1"/>
      <c r="CF881" s="1"/>
      <c r="CG881" s="1"/>
    </row>
    <row r="882" spans="1:85" ht="15.75" customHeight="1">
      <c r="A882" s="500"/>
      <c r="B882" s="216"/>
      <c r="C882" s="527"/>
      <c r="D882" s="216"/>
      <c r="E882" s="503"/>
      <c r="F882" s="436"/>
      <c r="G882" s="436"/>
      <c r="H882" s="503"/>
      <c r="I882" s="504"/>
      <c r="J882" s="504"/>
      <c r="K882" s="503"/>
      <c r="L882" s="505"/>
      <c r="M882" s="436"/>
      <c r="N882" s="503"/>
      <c r="O882" s="436"/>
      <c r="P882" s="436"/>
      <c r="Q882" s="436"/>
      <c r="R882" s="436"/>
      <c r="S882" s="436"/>
      <c r="T882" s="436"/>
      <c r="U882" s="503"/>
      <c r="V882" s="503"/>
      <c r="W882" s="503"/>
      <c r="X882" s="506"/>
      <c r="Y882" s="506"/>
      <c r="Z882" s="506"/>
      <c r="AA882" s="436"/>
      <c r="AB882" s="436"/>
      <c r="AC882" s="436"/>
      <c r="AD882" s="436"/>
      <c r="AE882" s="508"/>
      <c r="AF882" s="508"/>
      <c r="AG882" s="508"/>
      <c r="AH882" s="508"/>
      <c r="AI882" s="436"/>
      <c r="AJ882" s="436"/>
      <c r="AK882" s="436"/>
      <c r="AL882" s="436"/>
      <c r="AM882" s="436"/>
      <c r="AN882" s="436"/>
      <c r="AO882" s="436"/>
      <c r="AP882" s="436"/>
      <c r="AQ882" s="436"/>
      <c r="AR882" s="436"/>
      <c r="AS882" s="436"/>
      <c r="AT882" s="436"/>
      <c r="AU882" s="436"/>
      <c r="AV882" s="436"/>
      <c r="AW882" s="436"/>
      <c r="AX882" s="436"/>
      <c r="AY882" s="436"/>
      <c r="AZ882" s="436"/>
      <c r="BA882" s="436"/>
      <c r="BB882" s="436"/>
      <c r="BC882" s="436"/>
      <c r="BD882" s="436"/>
      <c r="BE882" s="436"/>
      <c r="BF882" s="436"/>
      <c r="BG882" s="436"/>
      <c r="BH882" s="436"/>
      <c r="BI882" s="436"/>
      <c r="BJ882" s="436"/>
      <c r="BK882" s="436"/>
      <c r="BL882" s="436"/>
      <c r="BM882" s="436"/>
      <c r="BN882" s="436"/>
      <c r="BO882" s="339"/>
      <c r="BP882" s="436"/>
      <c r="BQ882" s="436"/>
      <c r="BR882" s="436"/>
      <c r="BS882" s="436"/>
      <c r="BT882" s="436"/>
      <c r="BU882" s="436"/>
      <c r="BV882" s="436"/>
      <c r="BW882" s="436"/>
      <c r="BX882" s="1"/>
      <c r="BY882" s="1"/>
      <c r="BZ882" s="1"/>
      <c r="CA882" s="1"/>
      <c r="CB882" s="1"/>
      <c r="CC882" s="1"/>
      <c r="CD882" s="1"/>
      <c r="CE882" s="1"/>
      <c r="CF882" s="1"/>
      <c r="CG882" s="1"/>
    </row>
    <row r="883" spans="1:85" ht="15.75" customHeight="1">
      <c r="A883" s="500"/>
      <c r="B883" s="216"/>
      <c r="C883" s="527"/>
      <c r="D883" s="216"/>
      <c r="E883" s="503"/>
      <c r="F883" s="436"/>
      <c r="G883" s="436"/>
      <c r="H883" s="503"/>
      <c r="I883" s="504"/>
      <c r="J883" s="504"/>
      <c r="K883" s="503"/>
      <c r="L883" s="505"/>
      <c r="M883" s="436"/>
      <c r="N883" s="503"/>
      <c r="O883" s="436"/>
      <c r="P883" s="436"/>
      <c r="Q883" s="436"/>
      <c r="R883" s="436"/>
      <c r="S883" s="436"/>
      <c r="T883" s="436"/>
      <c r="U883" s="503"/>
      <c r="V883" s="503"/>
      <c r="W883" s="503"/>
      <c r="X883" s="506"/>
      <c r="Y883" s="506"/>
      <c r="Z883" s="506"/>
      <c r="AA883" s="436"/>
      <c r="AB883" s="436"/>
      <c r="AC883" s="436"/>
      <c r="AD883" s="436"/>
      <c r="AE883" s="508"/>
      <c r="AF883" s="508"/>
      <c r="AG883" s="508"/>
      <c r="AH883" s="508"/>
      <c r="AI883" s="436"/>
      <c r="AJ883" s="436"/>
      <c r="AK883" s="436"/>
      <c r="AL883" s="436"/>
      <c r="AM883" s="436"/>
      <c r="AN883" s="436"/>
      <c r="AO883" s="436"/>
      <c r="AP883" s="436"/>
      <c r="AQ883" s="436"/>
      <c r="AR883" s="436"/>
      <c r="AS883" s="436"/>
      <c r="AT883" s="436"/>
      <c r="AU883" s="436"/>
      <c r="AV883" s="436"/>
      <c r="AW883" s="436"/>
      <c r="AX883" s="436"/>
      <c r="AY883" s="436"/>
      <c r="AZ883" s="436"/>
      <c r="BA883" s="436"/>
      <c r="BB883" s="436"/>
      <c r="BC883" s="436"/>
      <c r="BD883" s="436"/>
      <c r="BE883" s="436"/>
      <c r="BF883" s="436"/>
      <c r="BG883" s="436"/>
      <c r="BH883" s="436"/>
      <c r="BI883" s="436"/>
      <c r="BJ883" s="436"/>
      <c r="BK883" s="436"/>
      <c r="BL883" s="436"/>
      <c r="BM883" s="436"/>
      <c r="BN883" s="436"/>
      <c r="BO883" s="339"/>
      <c r="BP883" s="436"/>
      <c r="BQ883" s="436"/>
      <c r="BR883" s="436"/>
      <c r="BS883" s="436"/>
      <c r="BT883" s="436"/>
      <c r="BU883" s="436"/>
      <c r="BV883" s="436"/>
      <c r="BW883" s="436"/>
      <c r="BX883" s="1"/>
      <c r="BY883" s="1"/>
      <c r="BZ883" s="1"/>
      <c r="CA883" s="1"/>
      <c r="CB883" s="1"/>
      <c r="CC883" s="1"/>
      <c r="CD883" s="1"/>
      <c r="CE883" s="1"/>
      <c r="CF883" s="1"/>
      <c r="CG883" s="1"/>
    </row>
    <row r="884" spans="1:85" ht="15.75" customHeight="1">
      <c r="A884" s="500"/>
      <c r="B884" s="216"/>
      <c r="C884" s="527"/>
      <c r="D884" s="216"/>
      <c r="E884" s="503"/>
      <c r="F884" s="436"/>
      <c r="G884" s="436"/>
      <c r="H884" s="503"/>
      <c r="I884" s="504"/>
      <c r="J884" s="504"/>
      <c r="K884" s="503"/>
      <c r="L884" s="505"/>
      <c r="M884" s="436"/>
      <c r="N884" s="503"/>
      <c r="O884" s="436"/>
      <c r="P884" s="436"/>
      <c r="Q884" s="436"/>
      <c r="R884" s="436"/>
      <c r="S884" s="436"/>
      <c r="T884" s="436"/>
      <c r="U884" s="503"/>
      <c r="V884" s="503"/>
      <c r="W884" s="503"/>
      <c r="X884" s="506"/>
      <c r="Y884" s="506"/>
      <c r="Z884" s="506"/>
      <c r="AA884" s="436"/>
      <c r="AB884" s="436"/>
      <c r="AC884" s="436"/>
      <c r="AD884" s="436"/>
      <c r="AE884" s="508"/>
      <c r="AF884" s="508"/>
      <c r="AG884" s="508"/>
      <c r="AH884" s="508"/>
      <c r="AI884" s="436"/>
      <c r="AJ884" s="436"/>
      <c r="AK884" s="436"/>
      <c r="AL884" s="436"/>
      <c r="AM884" s="436"/>
      <c r="AN884" s="436"/>
      <c r="AO884" s="436"/>
      <c r="AP884" s="436"/>
      <c r="AQ884" s="436"/>
      <c r="AR884" s="436"/>
      <c r="AS884" s="436"/>
      <c r="AT884" s="436"/>
      <c r="AU884" s="436"/>
      <c r="AV884" s="436"/>
      <c r="AW884" s="436"/>
      <c r="AX884" s="436"/>
      <c r="AY884" s="436"/>
      <c r="AZ884" s="436"/>
      <c r="BA884" s="436"/>
      <c r="BB884" s="436"/>
      <c r="BC884" s="436"/>
      <c r="BD884" s="436"/>
      <c r="BE884" s="436"/>
      <c r="BF884" s="436"/>
      <c r="BG884" s="436"/>
      <c r="BH884" s="436"/>
      <c r="BI884" s="436"/>
      <c r="BJ884" s="436"/>
      <c r="BK884" s="436"/>
      <c r="BL884" s="436"/>
      <c r="BM884" s="436"/>
      <c r="BN884" s="436"/>
      <c r="BO884" s="339"/>
      <c r="BP884" s="436"/>
      <c r="BQ884" s="436"/>
      <c r="BR884" s="436"/>
      <c r="BS884" s="436"/>
      <c r="BT884" s="436"/>
      <c r="BU884" s="436"/>
      <c r="BV884" s="436"/>
      <c r="BW884" s="436"/>
      <c r="BX884" s="1"/>
      <c r="BY884" s="1"/>
      <c r="BZ884" s="1"/>
      <c r="CA884" s="1"/>
      <c r="CB884" s="1"/>
      <c r="CC884" s="1"/>
      <c r="CD884" s="1"/>
      <c r="CE884" s="1"/>
      <c r="CF884" s="1"/>
      <c r="CG884" s="1"/>
    </row>
    <row r="885" spans="1:85" ht="15.75" customHeight="1">
      <c r="A885" s="500"/>
      <c r="B885" s="216"/>
      <c r="C885" s="527"/>
      <c r="D885" s="216"/>
      <c r="E885" s="503"/>
      <c r="F885" s="436"/>
      <c r="G885" s="436"/>
      <c r="H885" s="503"/>
      <c r="I885" s="504"/>
      <c r="J885" s="504"/>
      <c r="K885" s="503"/>
      <c r="L885" s="505"/>
      <c r="M885" s="436"/>
      <c r="N885" s="503"/>
      <c r="O885" s="436"/>
      <c r="P885" s="436"/>
      <c r="Q885" s="436"/>
      <c r="R885" s="436"/>
      <c r="S885" s="436"/>
      <c r="T885" s="436"/>
      <c r="U885" s="503"/>
      <c r="V885" s="503"/>
      <c r="W885" s="503"/>
      <c r="X885" s="506"/>
      <c r="Y885" s="506"/>
      <c r="Z885" s="506"/>
      <c r="AA885" s="436"/>
      <c r="AB885" s="436"/>
      <c r="AC885" s="436"/>
      <c r="AD885" s="436"/>
      <c r="AE885" s="508"/>
      <c r="AF885" s="508"/>
      <c r="AG885" s="508"/>
      <c r="AH885" s="508"/>
      <c r="AI885" s="436"/>
      <c r="AJ885" s="436"/>
      <c r="AK885" s="436"/>
      <c r="AL885" s="436"/>
      <c r="AM885" s="436"/>
      <c r="AN885" s="436"/>
      <c r="AO885" s="436"/>
      <c r="AP885" s="436"/>
      <c r="AQ885" s="436"/>
      <c r="AR885" s="436"/>
      <c r="AS885" s="436"/>
      <c r="AT885" s="436"/>
      <c r="AU885" s="436"/>
      <c r="AV885" s="436"/>
      <c r="AW885" s="436"/>
      <c r="AX885" s="436"/>
      <c r="AY885" s="436"/>
      <c r="AZ885" s="436"/>
      <c r="BA885" s="436"/>
      <c r="BB885" s="436"/>
      <c r="BC885" s="436"/>
      <c r="BD885" s="436"/>
      <c r="BE885" s="436"/>
      <c r="BF885" s="436"/>
      <c r="BG885" s="436"/>
      <c r="BH885" s="436"/>
      <c r="BI885" s="436"/>
      <c r="BJ885" s="436"/>
      <c r="BK885" s="436"/>
      <c r="BL885" s="436"/>
      <c r="BM885" s="436"/>
      <c r="BN885" s="436"/>
      <c r="BO885" s="339"/>
      <c r="BP885" s="436"/>
      <c r="BQ885" s="436"/>
      <c r="BR885" s="436"/>
      <c r="BS885" s="436"/>
      <c r="BT885" s="436"/>
      <c r="BU885" s="436"/>
      <c r="BV885" s="436"/>
      <c r="BW885" s="436"/>
      <c r="BX885" s="1"/>
      <c r="BY885" s="1"/>
      <c r="BZ885" s="1"/>
      <c r="CA885" s="1"/>
      <c r="CB885" s="1"/>
      <c r="CC885" s="1"/>
      <c r="CD885" s="1"/>
      <c r="CE885" s="1"/>
      <c r="CF885" s="1"/>
      <c r="CG885" s="1"/>
    </row>
    <row r="886" spans="1:85" ht="15.75" customHeight="1">
      <c r="A886" s="500"/>
      <c r="B886" s="216"/>
      <c r="C886" s="527"/>
      <c r="D886" s="216"/>
      <c r="E886" s="503"/>
      <c r="F886" s="436"/>
      <c r="G886" s="436"/>
      <c r="H886" s="503"/>
      <c r="I886" s="504"/>
      <c r="J886" s="504"/>
      <c r="K886" s="503"/>
      <c r="L886" s="505"/>
      <c r="M886" s="436"/>
      <c r="N886" s="503"/>
      <c r="O886" s="436"/>
      <c r="P886" s="436"/>
      <c r="Q886" s="436"/>
      <c r="R886" s="436"/>
      <c r="S886" s="436"/>
      <c r="T886" s="436"/>
      <c r="U886" s="503"/>
      <c r="V886" s="503"/>
      <c r="W886" s="503"/>
      <c r="X886" s="506"/>
      <c r="Y886" s="506"/>
      <c r="Z886" s="506"/>
      <c r="AA886" s="436"/>
      <c r="AB886" s="436"/>
      <c r="AC886" s="436"/>
      <c r="AD886" s="436"/>
      <c r="AE886" s="508"/>
      <c r="AF886" s="508"/>
      <c r="AG886" s="508"/>
      <c r="AH886" s="508"/>
      <c r="AI886" s="436"/>
      <c r="AJ886" s="436"/>
      <c r="AK886" s="436"/>
      <c r="AL886" s="436"/>
      <c r="AM886" s="436"/>
      <c r="AN886" s="436"/>
      <c r="AO886" s="436"/>
      <c r="AP886" s="436"/>
      <c r="AQ886" s="436"/>
      <c r="AR886" s="436"/>
      <c r="AS886" s="436"/>
      <c r="AT886" s="436"/>
      <c r="AU886" s="436"/>
      <c r="AV886" s="436"/>
      <c r="AW886" s="436"/>
      <c r="AX886" s="436"/>
      <c r="AY886" s="436"/>
      <c r="AZ886" s="436"/>
      <c r="BA886" s="436"/>
      <c r="BB886" s="436"/>
      <c r="BC886" s="436"/>
      <c r="BD886" s="436"/>
      <c r="BE886" s="436"/>
      <c r="BF886" s="436"/>
      <c r="BG886" s="436"/>
      <c r="BH886" s="436"/>
      <c r="BI886" s="436"/>
      <c r="BJ886" s="436"/>
      <c r="BK886" s="436"/>
      <c r="BL886" s="436"/>
      <c r="BM886" s="436"/>
      <c r="BN886" s="436"/>
      <c r="BO886" s="339"/>
      <c r="BP886" s="436"/>
      <c r="BQ886" s="436"/>
      <c r="BR886" s="436"/>
      <c r="BS886" s="436"/>
      <c r="BT886" s="436"/>
      <c r="BU886" s="436"/>
      <c r="BV886" s="436"/>
      <c r="BW886" s="436"/>
      <c r="BX886" s="1"/>
      <c r="BY886" s="1"/>
      <c r="BZ886" s="1"/>
      <c r="CA886" s="1"/>
      <c r="CB886" s="1"/>
      <c r="CC886" s="1"/>
      <c r="CD886" s="1"/>
      <c r="CE886" s="1"/>
      <c r="CF886" s="1"/>
      <c r="CG886" s="1"/>
    </row>
    <row r="887" spans="1:85" ht="15.75" customHeight="1">
      <c r="A887" s="500"/>
      <c r="B887" s="216"/>
      <c r="C887" s="527"/>
      <c r="D887" s="216"/>
      <c r="E887" s="503"/>
      <c r="F887" s="436"/>
      <c r="G887" s="436"/>
      <c r="H887" s="503"/>
      <c r="I887" s="504"/>
      <c r="J887" s="504"/>
      <c r="K887" s="503"/>
      <c r="L887" s="505"/>
      <c r="M887" s="436"/>
      <c r="N887" s="503"/>
      <c r="O887" s="436"/>
      <c r="P887" s="436"/>
      <c r="Q887" s="436"/>
      <c r="R887" s="436"/>
      <c r="S887" s="436"/>
      <c r="T887" s="436"/>
      <c r="U887" s="503"/>
      <c r="V887" s="503"/>
      <c r="W887" s="503"/>
      <c r="X887" s="506"/>
      <c r="Y887" s="506"/>
      <c r="Z887" s="506"/>
      <c r="AA887" s="436"/>
      <c r="AB887" s="436"/>
      <c r="AC887" s="436"/>
      <c r="AD887" s="436"/>
      <c r="AE887" s="508"/>
      <c r="AF887" s="508"/>
      <c r="AG887" s="508"/>
      <c r="AH887" s="508"/>
      <c r="AI887" s="436"/>
      <c r="AJ887" s="436"/>
      <c r="AK887" s="436"/>
      <c r="AL887" s="436"/>
      <c r="AM887" s="436"/>
      <c r="AN887" s="436"/>
      <c r="AO887" s="436"/>
      <c r="AP887" s="436"/>
      <c r="AQ887" s="436"/>
      <c r="AR887" s="436"/>
      <c r="AS887" s="436"/>
      <c r="AT887" s="436"/>
      <c r="AU887" s="436"/>
      <c r="AV887" s="436"/>
      <c r="AW887" s="436"/>
      <c r="AX887" s="436"/>
      <c r="AY887" s="436"/>
      <c r="AZ887" s="436"/>
      <c r="BA887" s="436"/>
      <c r="BB887" s="436"/>
      <c r="BC887" s="436"/>
      <c r="BD887" s="436"/>
      <c r="BE887" s="436"/>
      <c r="BF887" s="436"/>
      <c r="BG887" s="436"/>
      <c r="BH887" s="436"/>
      <c r="BI887" s="436"/>
      <c r="BJ887" s="436"/>
      <c r="BK887" s="436"/>
      <c r="BL887" s="436"/>
      <c r="BM887" s="436"/>
      <c r="BN887" s="436"/>
      <c r="BO887" s="339"/>
      <c r="BP887" s="436"/>
      <c r="BQ887" s="436"/>
      <c r="BR887" s="436"/>
      <c r="BS887" s="436"/>
      <c r="BT887" s="436"/>
      <c r="BU887" s="436"/>
      <c r="BV887" s="436"/>
      <c r="BW887" s="436"/>
      <c r="BX887" s="1"/>
      <c r="BY887" s="1"/>
      <c r="BZ887" s="1"/>
      <c r="CA887" s="1"/>
      <c r="CB887" s="1"/>
      <c r="CC887" s="1"/>
      <c r="CD887" s="1"/>
      <c r="CE887" s="1"/>
      <c r="CF887" s="1"/>
      <c r="CG887" s="1"/>
    </row>
    <row r="888" spans="1:85" ht="15.75" customHeight="1">
      <c r="A888" s="500"/>
      <c r="B888" s="216"/>
      <c r="C888" s="527"/>
      <c r="D888" s="216"/>
      <c r="E888" s="503"/>
      <c r="F888" s="436"/>
      <c r="G888" s="436"/>
      <c r="H888" s="503"/>
      <c r="I888" s="504"/>
      <c r="J888" s="504"/>
      <c r="K888" s="503"/>
      <c r="L888" s="505"/>
      <c r="M888" s="436"/>
      <c r="N888" s="503"/>
      <c r="O888" s="436"/>
      <c r="P888" s="436"/>
      <c r="Q888" s="436"/>
      <c r="R888" s="436"/>
      <c r="S888" s="436"/>
      <c r="T888" s="436"/>
      <c r="U888" s="503"/>
      <c r="V888" s="503"/>
      <c r="W888" s="503"/>
      <c r="X888" s="506"/>
      <c r="Y888" s="506"/>
      <c r="Z888" s="506"/>
      <c r="AA888" s="436"/>
      <c r="AB888" s="436"/>
      <c r="AC888" s="436"/>
      <c r="AD888" s="436"/>
      <c r="AE888" s="508"/>
      <c r="AF888" s="508"/>
      <c r="AG888" s="508"/>
      <c r="AH888" s="508"/>
      <c r="AI888" s="436"/>
      <c r="AJ888" s="436"/>
      <c r="AK888" s="436"/>
      <c r="AL888" s="436"/>
      <c r="AM888" s="436"/>
      <c r="AN888" s="436"/>
      <c r="AO888" s="436"/>
      <c r="AP888" s="436"/>
      <c r="AQ888" s="436"/>
      <c r="AR888" s="436"/>
      <c r="AS888" s="436"/>
      <c r="AT888" s="436"/>
      <c r="AU888" s="436"/>
      <c r="AV888" s="436"/>
      <c r="AW888" s="436"/>
      <c r="AX888" s="436"/>
      <c r="AY888" s="436"/>
      <c r="AZ888" s="436"/>
      <c r="BA888" s="436"/>
      <c r="BB888" s="436"/>
      <c r="BC888" s="436"/>
      <c r="BD888" s="436"/>
      <c r="BE888" s="436"/>
      <c r="BF888" s="436"/>
      <c r="BG888" s="436"/>
      <c r="BH888" s="436"/>
      <c r="BI888" s="436"/>
      <c r="BJ888" s="436"/>
      <c r="BK888" s="436"/>
      <c r="BL888" s="436"/>
      <c r="BM888" s="436"/>
      <c r="BN888" s="436"/>
      <c r="BO888" s="339"/>
      <c r="BP888" s="436"/>
      <c r="BQ888" s="436"/>
      <c r="BR888" s="436"/>
      <c r="BS888" s="436"/>
      <c r="BT888" s="436"/>
      <c r="BU888" s="436"/>
      <c r="BV888" s="436"/>
      <c r="BW888" s="436"/>
      <c r="BX888" s="1"/>
      <c r="BY888" s="1"/>
      <c r="BZ888" s="1"/>
      <c r="CA888" s="1"/>
      <c r="CB888" s="1"/>
      <c r="CC888" s="1"/>
      <c r="CD888" s="1"/>
      <c r="CE888" s="1"/>
      <c r="CF888" s="1"/>
      <c r="CG888" s="1"/>
    </row>
    <row r="889" spans="1:85" ht="15.75" customHeight="1">
      <c r="A889" s="500"/>
      <c r="B889" s="216"/>
      <c r="C889" s="527"/>
      <c r="D889" s="216"/>
      <c r="E889" s="503"/>
      <c r="F889" s="436"/>
      <c r="G889" s="436"/>
      <c r="H889" s="503"/>
      <c r="I889" s="504"/>
      <c r="J889" s="504"/>
      <c r="K889" s="503"/>
      <c r="L889" s="505"/>
      <c r="M889" s="436"/>
      <c r="N889" s="503"/>
      <c r="O889" s="436"/>
      <c r="P889" s="436"/>
      <c r="Q889" s="436"/>
      <c r="R889" s="436"/>
      <c r="S889" s="436"/>
      <c r="T889" s="436"/>
      <c r="U889" s="503"/>
      <c r="V889" s="503"/>
      <c r="W889" s="503"/>
      <c r="X889" s="506"/>
      <c r="Y889" s="506"/>
      <c r="Z889" s="506"/>
      <c r="AA889" s="436"/>
      <c r="AB889" s="436"/>
      <c r="AC889" s="436"/>
      <c r="AD889" s="436"/>
      <c r="AE889" s="508"/>
      <c r="AF889" s="508"/>
      <c r="AG889" s="508"/>
      <c r="AH889" s="508"/>
      <c r="AI889" s="436"/>
      <c r="AJ889" s="436"/>
      <c r="AK889" s="436"/>
      <c r="AL889" s="436"/>
      <c r="AM889" s="436"/>
      <c r="AN889" s="436"/>
      <c r="AO889" s="436"/>
      <c r="AP889" s="436"/>
      <c r="AQ889" s="436"/>
      <c r="AR889" s="436"/>
      <c r="AS889" s="436"/>
      <c r="AT889" s="436"/>
      <c r="AU889" s="436"/>
      <c r="AV889" s="436"/>
      <c r="AW889" s="436"/>
      <c r="AX889" s="436"/>
      <c r="AY889" s="436"/>
      <c r="AZ889" s="436"/>
      <c r="BA889" s="436"/>
      <c r="BB889" s="436"/>
      <c r="BC889" s="436"/>
      <c r="BD889" s="436"/>
      <c r="BE889" s="436"/>
      <c r="BF889" s="436"/>
      <c r="BG889" s="436"/>
      <c r="BH889" s="436"/>
      <c r="BI889" s="436"/>
      <c r="BJ889" s="436"/>
      <c r="BK889" s="436"/>
      <c r="BL889" s="436"/>
      <c r="BM889" s="436"/>
      <c r="BN889" s="436"/>
      <c r="BO889" s="339"/>
      <c r="BP889" s="436"/>
      <c r="BQ889" s="436"/>
      <c r="BR889" s="436"/>
      <c r="BS889" s="436"/>
      <c r="BT889" s="436"/>
      <c r="BU889" s="436"/>
      <c r="BV889" s="436"/>
      <c r="BW889" s="436"/>
      <c r="BX889" s="1"/>
      <c r="BY889" s="1"/>
      <c r="BZ889" s="1"/>
      <c r="CA889" s="1"/>
      <c r="CB889" s="1"/>
      <c r="CC889" s="1"/>
      <c r="CD889" s="1"/>
      <c r="CE889" s="1"/>
      <c r="CF889" s="1"/>
      <c r="CG889" s="1"/>
    </row>
    <row r="890" spans="1:85" ht="15.75" customHeight="1">
      <c r="A890" s="500"/>
      <c r="B890" s="216"/>
      <c r="C890" s="527"/>
      <c r="D890" s="216"/>
      <c r="E890" s="503"/>
      <c r="F890" s="436"/>
      <c r="G890" s="436"/>
      <c r="H890" s="503"/>
      <c r="I890" s="504"/>
      <c r="J890" s="504"/>
      <c r="K890" s="503"/>
      <c r="L890" s="505"/>
      <c r="M890" s="436"/>
      <c r="N890" s="503"/>
      <c r="O890" s="436"/>
      <c r="P890" s="436"/>
      <c r="Q890" s="436"/>
      <c r="R890" s="436"/>
      <c r="S890" s="436"/>
      <c r="T890" s="436"/>
      <c r="U890" s="503"/>
      <c r="V890" s="503"/>
      <c r="W890" s="503"/>
      <c r="X890" s="506"/>
      <c r="Y890" s="506"/>
      <c r="Z890" s="506"/>
      <c r="AA890" s="436"/>
      <c r="AB890" s="436"/>
      <c r="AC890" s="436"/>
      <c r="AD890" s="436"/>
      <c r="AE890" s="508"/>
      <c r="AF890" s="508"/>
      <c r="AG890" s="508"/>
      <c r="AH890" s="508"/>
      <c r="AI890" s="436"/>
      <c r="AJ890" s="436"/>
      <c r="AK890" s="436"/>
      <c r="AL890" s="436"/>
      <c r="AM890" s="436"/>
      <c r="AN890" s="436"/>
      <c r="AO890" s="436"/>
      <c r="AP890" s="436"/>
      <c r="AQ890" s="436"/>
      <c r="AR890" s="436"/>
      <c r="AS890" s="436"/>
      <c r="AT890" s="436"/>
      <c r="AU890" s="436"/>
      <c r="AV890" s="436"/>
      <c r="AW890" s="436"/>
      <c r="AX890" s="436"/>
      <c r="AY890" s="436"/>
      <c r="AZ890" s="436"/>
      <c r="BA890" s="436"/>
      <c r="BB890" s="436"/>
      <c r="BC890" s="436"/>
      <c r="BD890" s="436"/>
      <c r="BE890" s="436"/>
      <c r="BF890" s="436"/>
      <c r="BG890" s="436"/>
      <c r="BH890" s="436"/>
      <c r="BI890" s="436"/>
      <c r="BJ890" s="436"/>
      <c r="BK890" s="436"/>
      <c r="BL890" s="436"/>
      <c r="BM890" s="436"/>
      <c r="BN890" s="436"/>
      <c r="BO890" s="339"/>
      <c r="BP890" s="436"/>
      <c r="BQ890" s="436"/>
      <c r="BR890" s="436"/>
      <c r="BS890" s="436"/>
      <c r="BT890" s="436"/>
      <c r="BU890" s="436"/>
      <c r="BV890" s="436"/>
      <c r="BW890" s="436"/>
      <c r="BX890" s="1"/>
      <c r="BY890" s="1"/>
      <c r="BZ890" s="1"/>
      <c r="CA890" s="1"/>
      <c r="CB890" s="1"/>
      <c r="CC890" s="1"/>
      <c r="CD890" s="1"/>
      <c r="CE890" s="1"/>
      <c r="CF890" s="1"/>
      <c r="CG890" s="1"/>
    </row>
    <row r="891" spans="1:85" ht="15.75" customHeight="1">
      <c r="A891" s="500"/>
      <c r="B891" s="216"/>
      <c r="C891" s="527"/>
      <c r="D891" s="216"/>
      <c r="E891" s="503"/>
      <c r="F891" s="436"/>
      <c r="G891" s="436"/>
      <c r="H891" s="503"/>
      <c r="I891" s="504"/>
      <c r="J891" s="504"/>
      <c r="K891" s="503"/>
      <c r="L891" s="505"/>
      <c r="M891" s="436"/>
      <c r="N891" s="503"/>
      <c r="O891" s="436"/>
      <c r="P891" s="436"/>
      <c r="Q891" s="436"/>
      <c r="R891" s="436"/>
      <c r="S891" s="436"/>
      <c r="T891" s="436"/>
      <c r="U891" s="503"/>
      <c r="V891" s="503"/>
      <c r="W891" s="503"/>
      <c r="X891" s="506"/>
      <c r="Y891" s="506"/>
      <c r="Z891" s="506"/>
      <c r="AA891" s="436"/>
      <c r="AB891" s="436"/>
      <c r="AC891" s="436"/>
      <c r="AD891" s="436"/>
      <c r="AE891" s="508"/>
      <c r="AF891" s="508"/>
      <c r="AG891" s="508"/>
      <c r="AH891" s="508"/>
      <c r="AI891" s="436"/>
      <c r="AJ891" s="436"/>
      <c r="AK891" s="436"/>
      <c r="AL891" s="436"/>
      <c r="AM891" s="436"/>
      <c r="AN891" s="436"/>
      <c r="AO891" s="436"/>
      <c r="AP891" s="436"/>
      <c r="AQ891" s="436"/>
      <c r="AR891" s="436"/>
      <c r="AS891" s="436"/>
      <c r="AT891" s="436"/>
      <c r="AU891" s="436"/>
      <c r="AV891" s="436"/>
      <c r="AW891" s="436"/>
      <c r="AX891" s="436"/>
      <c r="AY891" s="436"/>
      <c r="AZ891" s="436"/>
      <c r="BA891" s="436"/>
      <c r="BB891" s="436"/>
      <c r="BC891" s="436"/>
      <c r="BD891" s="436"/>
      <c r="BE891" s="436"/>
      <c r="BF891" s="436"/>
      <c r="BG891" s="436"/>
      <c r="BH891" s="436"/>
      <c r="BI891" s="436"/>
      <c r="BJ891" s="436"/>
      <c r="BK891" s="436"/>
      <c r="BL891" s="436"/>
      <c r="BM891" s="436"/>
      <c r="BN891" s="436"/>
      <c r="BO891" s="339"/>
      <c r="BP891" s="436"/>
      <c r="BQ891" s="436"/>
      <c r="BR891" s="436"/>
      <c r="BS891" s="436"/>
      <c r="BT891" s="436"/>
      <c r="BU891" s="436"/>
      <c r="BV891" s="436"/>
      <c r="BW891" s="436"/>
      <c r="BX891" s="1"/>
      <c r="BY891" s="1"/>
      <c r="BZ891" s="1"/>
      <c r="CA891" s="1"/>
      <c r="CB891" s="1"/>
      <c r="CC891" s="1"/>
      <c r="CD891" s="1"/>
      <c r="CE891" s="1"/>
      <c r="CF891" s="1"/>
      <c r="CG891" s="1"/>
    </row>
    <row r="892" spans="1:85" ht="15.75" customHeight="1">
      <c r="A892" s="500"/>
      <c r="B892" s="216"/>
      <c r="C892" s="527"/>
      <c r="D892" s="216"/>
      <c r="E892" s="503"/>
      <c r="F892" s="436"/>
      <c r="G892" s="436"/>
      <c r="H892" s="503"/>
      <c r="I892" s="504"/>
      <c r="J892" s="504"/>
      <c r="K892" s="503"/>
      <c r="L892" s="505"/>
      <c r="M892" s="436"/>
      <c r="N892" s="503"/>
      <c r="O892" s="436"/>
      <c r="P892" s="436"/>
      <c r="Q892" s="436"/>
      <c r="R892" s="436"/>
      <c r="S892" s="436"/>
      <c r="T892" s="436"/>
      <c r="U892" s="503"/>
      <c r="V892" s="503"/>
      <c r="W892" s="503"/>
      <c r="X892" s="506"/>
      <c r="Y892" s="506"/>
      <c r="Z892" s="506"/>
      <c r="AA892" s="436"/>
      <c r="AB892" s="436"/>
      <c r="AC892" s="436"/>
      <c r="AD892" s="436"/>
      <c r="AE892" s="508"/>
      <c r="AF892" s="508"/>
      <c r="AG892" s="508"/>
      <c r="AH892" s="508"/>
      <c r="AI892" s="436"/>
      <c r="AJ892" s="436"/>
      <c r="AK892" s="436"/>
      <c r="AL892" s="436"/>
      <c r="AM892" s="436"/>
      <c r="AN892" s="436"/>
      <c r="AO892" s="436"/>
      <c r="AP892" s="436"/>
      <c r="AQ892" s="436"/>
      <c r="AR892" s="436"/>
      <c r="AS892" s="436"/>
      <c r="AT892" s="436"/>
      <c r="AU892" s="436"/>
      <c r="AV892" s="436"/>
      <c r="AW892" s="436"/>
      <c r="AX892" s="436"/>
      <c r="AY892" s="436"/>
      <c r="AZ892" s="436"/>
      <c r="BA892" s="436"/>
      <c r="BB892" s="436"/>
      <c r="BC892" s="436"/>
      <c r="BD892" s="436"/>
      <c r="BE892" s="436"/>
      <c r="BF892" s="436"/>
      <c r="BG892" s="436"/>
      <c r="BH892" s="436"/>
      <c r="BI892" s="436"/>
      <c r="BJ892" s="436"/>
      <c r="BK892" s="436"/>
      <c r="BL892" s="436"/>
      <c r="BM892" s="436"/>
      <c r="BN892" s="436"/>
      <c r="BO892" s="339"/>
      <c r="BP892" s="436"/>
      <c r="BQ892" s="436"/>
      <c r="BR892" s="436"/>
      <c r="BS892" s="436"/>
      <c r="BT892" s="436"/>
      <c r="BU892" s="436"/>
      <c r="BV892" s="436"/>
      <c r="BW892" s="436"/>
      <c r="BX892" s="1"/>
      <c r="BY892" s="1"/>
      <c r="BZ892" s="1"/>
      <c r="CA892" s="1"/>
      <c r="CB892" s="1"/>
      <c r="CC892" s="1"/>
      <c r="CD892" s="1"/>
      <c r="CE892" s="1"/>
      <c r="CF892" s="1"/>
      <c r="CG892" s="1"/>
    </row>
    <row r="893" spans="1:85" ht="15.75" customHeight="1">
      <c r="A893" s="500"/>
      <c r="B893" s="216"/>
      <c r="C893" s="527"/>
      <c r="D893" s="216"/>
      <c r="E893" s="503"/>
      <c r="F893" s="436"/>
      <c r="G893" s="436"/>
      <c r="H893" s="503"/>
      <c r="I893" s="504"/>
      <c r="J893" s="504"/>
      <c r="K893" s="503"/>
      <c r="L893" s="505"/>
      <c r="M893" s="436"/>
      <c r="N893" s="503"/>
      <c r="O893" s="436"/>
      <c r="P893" s="436"/>
      <c r="Q893" s="436"/>
      <c r="R893" s="436"/>
      <c r="S893" s="436"/>
      <c r="T893" s="436"/>
      <c r="U893" s="503"/>
      <c r="V893" s="503"/>
      <c r="W893" s="503"/>
      <c r="X893" s="506"/>
      <c r="Y893" s="506"/>
      <c r="Z893" s="506"/>
      <c r="AA893" s="436"/>
      <c r="AB893" s="436"/>
      <c r="AC893" s="436"/>
      <c r="AD893" s="436"/>
      <c r="AE893" s="508"/>
      <c r="AF893" s="508"/>
      <c r="AG893" s="508"/>
      <c r="AH893" s="508"/>
      <c r="AI893" s="436"/>
      <c r="AJ893" s="436"/>
      <c r="AK893" s="436"/>
      <c r="AL893" s="436"/>
      <c r="AM893" s="436"/>
      <c r="AN893" s="436"/>
      <c r="AO893" s="436"/>
      <c r="AP893" s="436"/>
      <c r="AQ893" s="436"/>
      <c r="AR893" s="436"/>
      <c r="AS893" s="436"/>
      <c r="AT893" s="436"/>
      <c r="AU893" s="436"/>
      <c r="AV893" s="436"/>
      <c r="AW893" s="436"/>
      <c r="AX893" s="436"/>
      <c r="AY893" s="436"/>
      <c r="AZ893" s="436"/>
      <c r="BA893" s="436"/>
      <c r="BB893" s="436"/>
      <c r="BC893" s="436"/>
      <c r="BD893" s="436"/>
      <c r="BE893" s="436"/>
      <c r="BF893" s="436"/>
      <c r="BG893" s="436"/>
      <c r="BH893" s="436"/>
      <c r="BI893" s="436"/>
      <c r="BJ893" s="436"/>
      <c r="BK893" s="436"/>
      <c r="BL893" s="436"/>
      <c r="BM893" s="436"/>
      <c r="BN893" s="436"/>
      <c r="BO893" s="339"/>
      <c r="BP893" s="436"/>
      <c r="BQ893" s="436"/>
      <c r="BR893" s="436"/>
      <c r="BS893" s="436"/>
      <c r="BT893" s="436"/>
      <c r="BU893" s="436"/>
      <c r="BV893" s="436"/>
      <c r="BW893" s="436"/>
      <c r="BX893" s="1"/>
      <c r="BY893" s="1"/>
      <c r="BZ893" s="1"/>
      <c r="CA893" s="1"/>
      <c r="CB893" s="1"/>
      <c r="CC893" s="1"/>
      <c r="CD893" s="1"/>
      <c r="CE893" s="1"/>
      <c r="CF893" s="1"/>
      <c r="CG893" s="1"/>
    </row>
    <row r="894" spans="1:85" ht="15.75" customHeight="1">
      <c r="A894" s="500"/>
      <c r="B894" s="216"/>
      <c r="C894" s="527"/>
      <c r="D894" s="216"/>
      <c r="E894" s="503"/>
      <c r="F894" s="436"/>
      <c r="G894" s="436"/>
      <c r="H894" s="503"/>
      <c r="I894" s="504"/>
      <c r="J894" s="504"/>
      <c r="K894" s="503"/>
      <c r="L894" s="505"/>
      <c r="M894" s="436"/>
      <c r="N894" s="503"/>
      <c r="O894" s="436"/>
      <c r="P894" s="436"/>
      <c r="Q894" s="436"/>
      <c r="R894" s="436"/>
      <c r="S894" s="436"/>
      <c r="T894" s="436"/>
      <c r="U894" s="503"/>
      <c r="V894" s="503"/>
      <c r="W894" s="503"/>
      <c r="X894" s="506"/>
      <c r="Y894" s="506"/>
      <c r="Z894" s="506"/>
      <c r="AA894" s="436"/>
      <c r="AB894" s="436"/>
      <c r="AC894" s="436"/>
      <c r="AD894" s="436"/>
      <c r="AE894" s="508"/>
      <c r="AF894" s="508"/>
      <c r="AG894" s="508"/>
      <c r="AH894" s="508"/>
      <c r="AI894" s="436"/>
      <c r="AJ894" s="436"/>
      <c r="AK894" s="436"/>
      <c r="AL894" s="436"/>
      <c r="AM894" s="436"/>
      <c r="AN894" s="436"/>
      <c r="AO894" s="436"/>
      <c r="AP894" s="436"/>
      <c r="AQ894" s="436"/>
      <c r="AR894" s="436"/>
      <c r="AS894" s="436"/>
      <c r="AT894" s="436"/>
      <c r="AU894" s="436"/>
      <c r="AV894" s="436"/>
      <c r="AW894" s="436"/>
      <c r="AX894" s="436"/>
      <c r="AY894" s="436"/>
      <c r="AZ894" s="436"/>
      <c r="BA894" s="436"/>
      <c r="BB894" s="436"/>
      <c r="BC894" s="436"/>
      <c r="BD894" s="436"/>
      <c r="BE894" s="436"/>
      <c r="BF894" s="436"/>
      <c r="BG894" s="436"/>
      <c r="BH894" s="436"/>
      <c r="BI894" s="436"/>
      <c r="BJ894" s="436"/>
      <c r="BK894" s="436"/>
      <c r="BL894" s="436"/>
      <c r="BM894" s="436"/>
      <c r="BN894" s="436"/>
      <c r="BO894" s="339"/>
      <c r="BP894" s="436"/>
      <c r="BQ894" s="436"/>
      <c r="BR894" s="436"/>
      <c r="BS894" s="436"/>
      <c r="BT894" s="436"/>
      <c r="BU894" s="436"/>
      <c r="BV894" s="436"/>
      <c r="BW894" s="436"/>
      <c r="BX894" s="1"/>
      <c r="BY894" s="1"/>
      <c r="BZ894" s="1"/>
      <c r="CA894" s="1"/>
      <c r="CB894" s="1"/>
      <c r="CC894" s="1"/>
      <c r="CD894" s="1"/>
      <c r="CE894" s="1"/>
      <c r="CF894" s="1"/>
      <c r="CG894" s="1"/>
    </row>
    <row r="895" spans="1:85" ht="15.75" customHeight="1">
      <c r="A895" s="500"/>
      <c r="B895" s="216"/>
      <c r="C895" s="527"/>
      <c r="D895" s="216"/>
      <c r="E895" s="503"/>
      <c r="F895" s="436"/>
      <c r="G895" s="436"/>
      <c r="H895" s="503"/>
      <c r="I895" s="504"/>
      <c r="J895" s="504"/>
      <c r="K895" s="503"/>
      <c r="L895" s="505"/>
      <c r="M895" s="436"/>
      <c r="N895" s="503"/>
      <c r="O895" s="436"/>
      <c r="P895" s="436"/>
      <c r="Q895" s="436"/>
      <c r="R895" s="436"/>
      <c r="S895" s="436"/>
      <c r="T895" s="436"/>
      <c r="U895" s="503"/>
      <c r="V895" s="503"/>
      <c r="W895" s="503"/>
      <c r="X895" s="506"/>
      <c r="Y895" s="506"/>
      <c r="Z895" s="506"/>
      <c r="AA895" s="436"/>
      <c r="AB895" s="436"/>
      <c r="AC895" s="436"/>
      <c r="AD895" s="436"/>
      <c r="AE895" s="508"/>
      <c r="AF895" s="508"/>
      <c r="AG895" s="508"/>
      <c r="AH895" s="508"/>
      <c r="AI895" s="436"/>
      <c r="AJ895" s="436"/>
      <c r="AK895" s="436"/>
      <c r="AL895" s="436"/>
      <c r="AM895" s="436"/>
      <c r="AN895" s="436"/>
      <c r="AO895" s="436"/>
      <c r="AP895" s="436"/>
      <c r="AQ895" s="436"/>
      <c r="AR895" s="436"/>
      <c r="AS895" s="436"/>
      <c r="AT895" s="436"/>
      <c r="AU895" s="436"/>
      <c r="AV895" s="436"/>
      <c r="AW895" s="436"/>
      <c r="AX895" s="436"/>
      <c r="AY895" s="436"/>
      <c r="AZ895" s="436"/>
      <c r="BA895" s="436"/>
      <c r="BB895" s="436"/>
      <c r="BC895" s="436"/>
      <c r="BD895" s="436"/>
      <c r="BE895" s="436"/>
      <c r="BF895" s="436"/>
      <c r="BG895" s="436"/>
      <c r="BH895" s="436"/>
      <c r="BI895" s="436"/>
      <c r="BJ895" s="436"/>
      <c r="BK895" s="436"/>
      <c r="BL895" s="436"/>
      <c r="BM895" s="436"/>
      <c r="BN895" s="436"/>
      <c r="BO895" s="339"/>
      <c r="BP895" s="436"/>
      <c r="BQ895" s="436"/>
      <c r="BR895" s="436"/>
      <c r="BS895" s="436"/>
      <c r="BT895" s="436"/>
      <c r="BU895" s="436"/>
      <c r="BV895" s="436"/>
      <c r="BW895" s="436"/>
      <c r="BX895" s="1"/>
      <c r="BY895" s="1"/>
      <c r="BZ895" s="1"/>
      <c r="CA895" s="1"/>
      <c r="CB895" s="1"/>
      <c r="CC895" s="1"/>
      <c r="CD895" s="1"/>
      <c r="CE895" s="1"/>
      <c r="CF895" s="1"/>
      <c r="CG895" s="1"/>
    </row>
    <row r="896" spans="1:85" ht="15.75" customHeight="1">
      <c r="A896" s="500"/>
      <c r="B896" s="216"/>
      <c r="C896" s="527"/>
      <c r="D896" s="216"/>
      <c r="E896" s="503"/>
      <c r="F896" s="436"/>
      <c r="G896" s="436"/>
      <c r="H896" s="503"/>
      <c r="I896" s="504"/>
      <c r="J896" s="504"/>
      <c r="K896" s="503"/>
      <c r="L896" s="505"/>
      <c r="M896" s="436"/>
      <c r="N896" s="503"/>
      <c r="O896" s="436"/>
      <c r="P896" s="436"/>
      <c r="Q896" s="436"/>
      <c r="R896" s="436"/>
      <c r="S896" s="436"/>
      <c r="T896" s="436"/>
      <c r="U896" s="503"/>
      <c r="V896" s="503"/>
      <c r="W896" s="503"/>
      <c r="X896" s="506"/>
      <c r="Y896" s="506"/>
      <c r="Z896" s="506"/>
      <c r="AA896" s="436"/>
      <c r="AB896" s="436"/>
      <c r="AC896" s="436"/>
      <c r="AD896" s="436"/>
      <c r="AE896" s="508"/>
      <c r="AF896" s="508"/>
      <c r="AG896" s="508"/>
      <c r="AH896" s="508"/>
      <c r="AI896" s="436"/>
      <c r="AJ896" s="436"/>
      <c r="AK896" s="436"/>
      <c r="AL896" s="436"/>
      <c r="AM896" s="436"/>
      <c r="AN896" s="436"/>
      <c r="AO896" s="436"/>
      <c r="AP896" s="436"/>
      <c r="AQ896" s="436"/>
      <c r="AR896" s="436"/>
      <c r="AS896" s="436"/>
      <c r="AT896" s="436"/>
      <c r="AU896" s="436"/>
      <c r="AV896" s="436"/>
      <c r="AW896" s="436"/>
      <c r="AX896" s="436"/>
      <c r="AY896" s="436"/>
      <c r="AZ896" s="436"/>
      <c r="BA896" s="436"/>
      <c r="BB896" s="436"/>
      <c r="BC896" s="436"/>
      <c r="BD896" s="436"/>
      <c r="BE896" s="436"/>
      <c r="BF896" s="436"/>
      <c r="BG896" s="436"/>
      <c r="BH896" s="436"/>
      <c r="BI896" s="436"/>
      <c r="BJ896" s="436"/>
      <c r="BK896" s="436"/>
      <c r="BL896" s="436"/>
      <c r="BM896" s="436"/>
      <c r="BN896" s="436"/>
      <c r="BO896" s="339"/>
      <c r="BP896" s="436"/>
      <c r="BQ896" s="436"/>
      <c r="BR896" s="436"/>
      <c r="BS896" s="436"/>
      <c r="BT896" s="436"/>
      <c r="BU896" s="436"/>
      <c r="BV896" s="436"/>
      <c r="BW896" s="436"/>
      <c r="BX896" s="1"/>
      <c r="BY896" s="1"/>
      <c r="BZ896" s="1"/>
      <c r="CA896" s="1"/>
      <c r="CB896" s="1"/>
      <c r="CC896" s="1"/>
      <c r="CD896" s="1"/>
      <c r="CE896" s="1"/>
      <c r="CF896" s="1"/>
      <c r="CG896" s="1"/>
    </row>
    <row r="897" spans="1:85" ht="15.75" customHeight="1">
      <c r="A897" s="500"/>
      <c r="B897" s="216"/>
      <c r="C897" s="527"/>
      <c r="D897" s="216"/>
      <c r="E897" s="503"/>
      <c r="F897" s="436"/>
      <c r="G897" s="436"/>
      <c r="H897" s="503"/>
      <c r="I897" s="504"/>
      <c r="J897" s="504"/>
      <c r="K897" s="503"/>
      <c r="L897" s="505"/>
      <c r="M897" s="436"/>
      <c r="N897" s="503"/>
      <c r="O897" s="436"/>
      <c r="P897" s="436"/>
      <c r="Q897" s="436"/>
      <c r="R897" s="436"/>
      <c r="S897" s="436"/>
      <c r="T897" s="436"/>
      <c r="U897" s="503"/>
      <c r="V897" s="503"/>
      <c r="W897" s="503"/>
      <c r="X897" s="506"/>
      <c r="Y897" s="506"/>
      <c r="Z897" s="506"/>
      <c r="AA897" s="436"/>
      <c r="AB897" s="436"/>
      <c r="AC897" s="436"/>
      <c r="AD897" s="436"/>
      <c r="AE897" s="508"/>
      <c r="AF897" s="508"/>
      <c r="AG897" s="508"/>
      <c r="AH897" s="508"/>
      <c r="AI897" s="436"/>
      <c r="AJ897" s="436"/>
      <c r="AK897" s="436"/>
      <c r="AL897" s="436"/>
      <c r="AM897" s="436"/>
      <c r="AN897" s="436"/>
      <c r="AO897" s="436"/>
      <c r="AP897" s="436"/>
      <c r="AQ897" s="436"/>
      <c r="AR897" s="436"/>
      <c r="AS897" s="436"/>
      <c r="AT897" s="436"/>
      <c r="AU897" s="436"/>
      <c r="AV897" s="436"/>
      <c r="AW897" s="436"/>
      <c r="AX897" s="436"/>
      <c r="AY897" s="436"/>
      <c r="AZ897" s="436"/>
      <c r="BA897" s="436"/>
      <c r="BB897" s="436"/>
      <c r="BC897" s="436"/>
      <c r="BD897" s="436"/>
      <c r="BE897" s="436"/>
      <c r="BF897" s="436"/>
      <c r="BG897" s="436"/>
      <c r="BH897" s="436"/>
      <c r="BI897" s="436"/>
      <c r="BJ897" s="436"/>
      <c r="BK897" s="436"/>
      <c r="BL897" s="436"/>
      <c r="BM897" s="436"/>
      <c r="BN897" s="436"/>
      <c r="BO897" s="339"/>
      <c r="BP897" s="436"/>
      <c r="BQ897" s="436"/>
      <c r="BR897" s="436"/>
      <c r="BS897" s="436"/>
      <c r="BT897" s="436"/>
      <c r="BU897" s="436"/>
      <c r="BV897" s="436"/>
      <c r="BW897" s="436"/>
      <c r="BX897" s="1"/>
      <c r="BY897" s="1"/>
      <c r="BZ897" s="1"/>
      <c r="CA897" s="1"/>
      <c r="CB897" s="1"/>
      <c r="CC897" s="1"/>
      <c r="CD897" s="1"/>
      <c r="CE897" s="1"/>
      <c r="CF897" s="1"/>
      <c r="CG897" s="1"/>
    </row>
    <row r="898" spans="1:85" ht="15.75" customHeight="1">
      <c r="A898" s="500"/>
      <c r="B898" s="216"/>
      <c r="C898" s="527"/>
      <c r="D898" s="216"/>
      <c r="E898" s="503"/>
      <c r="F898" s="436"/>
      <c r="G898" s="436"/>
      <c r="H898" s="503"/>
      <c r="I898" s="504"/>
      <c r="J898" s="504"/>
      <c r="K898" s="503"/>
      <c r="L898" s="505"/>
      <c r="M898" s="436"/>
      <c r="N898" s="503"/>
      <c r="O898" s="436"/>
      <c r="P898" s="436"/>
      <c r="Q898" s="436"/>
      <c r="R898" s="436"/>
      <c r="S898" s="436"/>
      <c r="T898" s="436"/>
      <c r="U898" s="503"/>
      <c r="V898" s="503"/>
      <c r="W898" s="503"/>
      <c r="X898" s="506"/>
      <c r="Y898" s="506"/>
      <c r="Z898" s="506"/>
      <c r="AA898" s="436"/>
      <c r="AB898" s="436"/>
      <c r="AC898" s="436"/>
      <c r="AD898" s="436"/>
      <c r="AE898" s="508"/>
      <c r="AF898" s="508"/>
      <c r="AG898" s="508"/>
      <c r="AH898" s="508"/>
      <c r="AI898" s="436"/>
      <c r="AJ898" s="436"/>
      <c r="AK898" s="436"/>
      <c r="AL898" s="436"/>
      <c r="AM898" s="436"/>
      <c r="AN898" s="436"/>
      <c r="AO898" s="436"/>
      <c r="AP898" s="436"/>
      <c r="AQ898" s="436"/>
      <c r="AR898" s="436"/>
      <c r="AS898" s="436"/>
      <c r="AT898" s="436"/>
      <c r="AU898" s="436"/>
      <c r="AV898" s="436"/>
      <c r="AW898" s="436"/>
      <c r="AX898" s="436"/>
      <c r="AY898" s="436"/>
      <c r="AZ898" s="436"/>
      <c r="BA898" s="436"/>
      <c r="BB898" s="436"/>
      <c r="BC898" s="436"/>
      <c r="BD898" s="436"/>
      <c r="BE898" s="436"/>
      <c r="BF898" s="436"/>
      <c r="BG898" s="436"/>
      <c r="BH898" s="436"/>
      <c r="BI898" s="436"/>
      <c r="BJ898" s="436"/>
      <c r="BK898" s="436"/>
      <c r="BL898" s="436"/>
      <c r="BM898" s="436"/>
      <c r="BN898" s="436"/>
      <c r="BO898" s="339"/>
      <c r="BP898" s="436"/>
      <c r="BQ898" s="436"/>
      <c r="BR898" s="436"/>
      <c r="BS898" s="436"/>
      <c r="BT898" s="436"/>
      <c r="BU898" s="436"/>
      <c r="BV898" s="436"/>
      <c r="BW898" s="436"/>
      <c r="BX898" s="1"/>
      <c r="BY898" s="1"/>
      <c r="BZ898" s="1"/>
      <c r="CA898" s="1"/>
      <c r="CB898" s="1"/>
      <c r="CC898" s="1"/>
      <c r="CD898" s="1"/>
      <c r="CE898" s="1"/>
      <c r="CF898" s="1"/>
      <c r="CG898" s="1"/>
    </row>
    <row r="899" spans="1:85" ht="15.75" customHeight="1">
      <c r="A899" s="500"/>
      <c r="B899" s="216"/>
      <c r="C899" s="527"/>
      <c r="D899" s="216"/>
      <c r="E899" s="503"/>
      <c r="F899" s="436"/>
      <c r="G899" s="436"/>
      <c r="H899" s="503"/>
      <c r="I899" s="504"/>
      <c r="J899" s="504"/>
      <c r="K899" s="503"/>
      <c r="L899" s="505"/>
      <c r="M899" s="436"/>
      <c r="N899" s="503"/>
      <c r="O899" s="436"/>
      <c r="P899" s="436"/>
      <c r="Q899" s="436"/>
      <c r="R899" s="436"/>
      <c r="S899" s="436"/>
      <c r="T899" s="436"/>
      <c r="U899" s="503"/>
      <c r="V899" s="503"/>
      <c r="W899" s="503"/>
      <c r="X899" s="506"/>
      <c r="Y899" s="506"/>
      <c r="Z899" s="506"/>
      <c r="AA899" s="436"/>
      <c r="AB899" s="436"/>
      <c r="AC899" s="436"/>
      <c r="AD899" s="436"/>
      <c r="AE899" s="508"/>
      <c r="AF899" s="508"/>
      <c r="AG899" s="508"/>
      <c r="AH899" s="508"/>
      <c r="AI899" s="436"/>
      <c r="AJ899" s="436"/>
      <c r="AK899" s="436"/>
      <c r="AL899" s="436"/>
      <c r="AM899" s="436"/>
      <c r="AN899" s="436"/>
      <c r="AO899" s="436"/>
      <c r="AP899" s="436"/>
      <c r="AQ899" s="436"/>
      <c r="AR899" s="436"/>
      <c r="AS899" s="436"/>
      <c r="AT899" s="436"/>
      <c r="AU899" s="436"/>
      <c r="AV899" s="436"/>
      <c r="AW899" s="436"/>
      <c r="AX899" s="436"/>
      <c r="AY899" s="436"/>
      <c r="AZ899" s="436"/>
      <c r="BA899" s="436"/>
      <c r="BB899" s="436"/>
      <c r="BC899" s="436"/>
      <c r="BD899" s="436"/>
      <c r="BE899" s="436"/>
      <c r="BF899" s="436"/>
      <c r="BG899" s="436"/>
      <c r="BH899" s="436"/>
      <c r="BI899" s="436"/>
      <c r="BJ899" s="436"/>
      <c r="BK899" s="436"/>
      <c r="BL899" s="436"/>
      <c r="BM899" s="436"/>
      <c r="BN899" s="436"/>
      <c r="BO899" s="339"/>
      <c r="BP899" s="436"/>
      <c r="BQ899" s="436"/>
      <c r="BR899" s="436"/>
      <c r="BS899" s="436"/>
      <c r="BT899" s="436"/>
      <c r="BU899" s="436"/>
      <c r="BV899" s="436"/>
      <c r="BW899" s="436"/>
      <c r="BX899" s="1"/>
      <c r="BY899" s="1"/>
      <c r="BZ899" s="1"/>
      <c r="CA899" s="1"/>
      <c r="CB899" s="1"/>
      <c r="CC899" s="1"/>
      <c r="CD899" s="1"/>
      <c r="CE899" s="1"/>
      <c r="CF899" s="1"/>
      <c r="CG899" s="1"/>
    </row>
    <row r="900" spans="1:85" ht="15.75" customHeight="1">
      <c r="A900" s="500"/>
      <c r="B900" s="216"/>
      <c r="C900" s="527"/>
      <c r="D900" s="216"/>
      <c r="E900" s="503"/>
      <c r="F900" s="436"/>
      <c r="G900" s="436"/>
      <c r="H900" s="503"/>
      <c r="I900" s="504"/>
      <c r="J900" s="504"/>
      <c r="K900" s="503"/>
      <c r="L900" s="505"/>
      <c r="M900" s="436"/>
      <c r="N900" s="503"/>
      <c r="O900" s="436"/>
      <c r="P900" s="436"/>
      <c r="Q900" s="436"/>
      <c r="R900" s="436"/>
      <c r="S900" s="436"/>
      <c r="T900" s="436"/>
      <c r="U900" s="503"/>
      <c r="V900" s="503"/>
      <c r="W900" s="503"/>
      <c r="X900" s="506"/>
      <c r="Y900" s="506"/>
      <c r="Z900" s="506"/>
      <c r="AA900" s="436"/>
      <c r="AB900" s="436"/>
      <c r="AC900" s="436"/>
      <c r="AD900" s="436"/>
      <c r="AE900" s="508"/>
      <c r="AF900" s="508"/>
      <c r="AG900" s="508"/>
      <c r="AH900" s="508"/>
      <c r="AI900" s="436"/>
      <c r="AJ900" s="436"/>
      <c r="AK900" s="436"/>
      <c r="AL900" s="436"/>
      <c r="AM900" s="436"/>
      <c r="AN900" s="436"/>
      <c r="AO900" s="436"/>
      <c r="AP900" s="436"/>
      <c r="AQ900" s="436"/>
      <c r="AR900" s="436"/>
      <c r="AS900" s="436"/>
      <c r="AT900" s="436"/>
      <c r="AU900" s="436"/>
      <c r="AV900" s="436"/>
      <c r="AW900" s="436"/>
      <c r="AX900" s="436"/>
      <c r="AY900" s="436"/>
      <c r="AZ900" s="436"/>
      <c r="BA900" s="436"/>
      <c r="BB900" s="436"/>
      <c r="BC900" s="436"/>
      <c r="BD900" s="436"/>
      <c r="BE900" s="436"/>
      <c r="BF900" s="436"/>
      <c r="BG900" s="436"/>
      <c r="BH900" s="436"/>
      <c r="BI900" s="436"/>
      <c r="BJ900" s="436"/>
      <c r="BK900" s="436"/>
      <c r="BL900" s="436"/>
      <c r="BM900" s="436"/>
      <c r="BN900" s="436"/>
      <c r="BO900" s="339"/>
      <c r="BP900" s="436"/>
      <c r="BQ900" s="436"/>
      <c r="BR900" s="436"/>
      <c r="BS900" s="436"/>
      <c r="BT900" s="436"/>
      <c r="BU900" s="436"/>
      <c r="BV900" s="436"/>
      <c r="BW900" s="436"/>
      <c r="BX900" s="1"/>
      <c r="BY900" s="1"/>
      <c r="BZ900" s="1"/>
      <c r="CA900" s="1"/>
      <c r="CB900" s="1"/>
      <c r="CC900" s="1"/>
      <c r="CD900" s="1"/>
      <c r="CE900" s="1"/>
      <c r="CF900" s="1"/>
      <c r="CG900" s="1"/>
    </row>
    <row r="901" spans="1:85" ht="15.75" customHeight="1">
      <c r="A901" s="500"/>
      <c r="B901" s="216"/>
      <c r="C901" s="527"/>
      <c r="D901" s="216"/>
      <c r="E901" s="503"/>
      <c r="F901" s="436"/>
      <c r="G901" s="436"/>
      <c r="H901" s="503"/>
      <c r="I901" s="504"/>
      <c r="J901" s="504"/>
      <c r="K901" s="503"/>
      <c r="L901" s="505"/>
      <c r="M901" s="436"/>
      <c r="N901" s="503"/>
      <c r="O901" s="436"/>
      <c r="P901" s="436"/>
      <c r="Q901" s="436"/>
      <c r="R901" s="436"/>
      <c r="S901" s="436"/>
      <c r="T901" s="436"/>
      <c r="U901" s="503"/>
      <c r="V901" s="503"/>
      <c r="W901" s="503"/>
      <c r="X901" s="506"/>
      <c r="Y901" s="506"/>
      <c r="Z901" s="506"/>
      <c r="AA901" s="436"/>
      <c r="AB901" s="436"/>
      <c r="AC901" s="436"/>
      <c r="AD901" s="436"/>
      <c r="AE901" s="508"/>
      <c r="AF901" s="508"/>
      <c r="AG901" s="508"/>
      <c r="AH901" s="508"/>
      <c r="AI901" s="436"/>
      <c r="AJ901" s="436"/>
      <c r="AK901" s="436"/>
      <c r="AL901" s="436"/>
      <c r="AM901" s="436"/>
      <c r="AN901" s="436"/>
      <c r="AO901" s="436"/>
      <c r="AP901" s="436"/>
      <c r="AQ901" s="436"/>
      <c r="AR901" s="436"/>
      <c r="AS901" s="436"/>
      <c r="AT901" s="436"/>
      <c r="AU901" s="436"/>
      <c r="AV901" s="436"/>
      <c r="AW901" s="436"/>
      <c r="AX901" s="436"/>
      <c r="AY901" s="436"/>
      <c r="AZ901" s="436"/>
      <c r="BA901" s="436"/>
      <c r="BB901" s="436"/>
      <c r="BC901" s="436"/>
      <c r="BD901" s="436"/>
      <c r="BE901" s="436"/>
      <c r="BF901" s="436"/>
      <c r="BG901" s="436"/>
      <c r="BH901" s="436"/>
      <c r="BI901" s="436"/>
      <c r="BJ901" s="436"/>
      <c r="BK901" s="436"/>
      <c r="BL901" s="436"/>
      <c r="BM901" s="436"/>
      <c r="BN901" s="436"/>
      <c r="BO901" s="339"/>
      <c r="BP901" s="436"/>
      <c r="BQ901" s="436"/>
      <c r="BR901" s="436"/>
      <c r="BS901" s="436"/>
      <c r="BT901" s="436"/>
      <c r="BU901" s="436"/>
      <c r="BV901" s="436"/>
      <c r="BW901" s="436"/>
      <c r="BX901" s="1"/>
      <c r="BY901" s="1"/>
      <c r="BZ901" s="1"/>
      <c r="CA901" s="1"/>
      <c r="CB901" s="1"/>
      <c r="CC901" s="1"/>
      <c r="CD901" s="1"/>
      <c r="CE901" s="1"/>
      <c r="CF901" s="1"/>
      <c r="CG901" s="1"/>
    </row>
    <row r="902" spans="1:85" ht="15.75" customHeight="1">
      <c r="A902" s="500"/>
      <c r="B902" s="216"/>
      <c r="C902" s="527"/>
      <c r="D902" s="216"/>
      <c r="E902" s="503"/>
      <c r="F902" s="436"/>
      <c r="G902" s="436"/>
      <c r="H902" s="503"/>
      <c r="I902" s="504"/>
      <c r="J902" s="504"/>
      <c r="K902" s="503"/>
      <c r="L902" s="505"/>
      <c r="M902" s="436"/>
      <c r="N902" s="503"/>
      <c r="O902" s="436"/>
      <c r="P902" s="436"/>
      <c r="Q902" s="436"/>
      <c r="R902" s="436"/>
      <c r="S902" s="436"/>
      <c r="T902" s="436"/>
      <c r="U902" s="503"/>
      <c r="V902" s="503"/>
      <c r="W902" s="503"/>
      <c r="X902" s="506"/>
      <c r="Y902" s="506"/>
      <c r="Z902" s="506"/>
      <c r="AA902" s="436"/>
      <c r="AB902" s="436"/>
      <c r="AC902" s="436"/>
      <c r="AD902" s="436"/>
      <c r="AE902" s="508"/>
      <c r="AF902" s="508"/>
      <c r="AG902" s="508"/>
      <c r="AH902" s="508"/>
      <c r="AI902" s="436"/>
      <c r="AJ902" s="436"/>
      <c r="AK902" s="436"/>
      <c r="AL902" s="436"/>
      <c r="AM902" s="436"/>
      <c r="AN902" s="436"/>
      <c r="AO902" s="436"/>
      <c r="AP902" s="436"/>
      <c r="AQ902" s="436"/>
      <c r="AR902" s="436"/>
      <c r="AS902" s="436"/>
      <c r="AT902" s="436"/>
      <c r="AU902" s="436"/>
      <c r="AV902" s="436"/>
      <c r="AW902" s="436"/>
      <c r="AX902" s="436"/>
      <c r="AY902" s="436"/>
      <c r="AZ902" s="436"/>
      <c r="BA902" s="436"/>
      <c r="BB902" s="436"/>
      <c r="BC902" s="436"/>
      <c r="BD902" s="436"/>
      <c r="BE902" s="436"/>
      <c r="BF902" s="436"/>
      <c r="BG902" s="436"/>
      <c r="BH902" s="436"/>
      <c r="BI902" s="436"/>
      <c r="BJ902" s="436"/>
      <c r="BK902" s="436"/>
      <c r="BL902" s="436"/>
      <c r="BM902" s="436"/>
      <c r="BN902" s="436"/>
      <c r="BO902" s="339"/>
      <c r="BP902" s="436"/>
      <c r="BQ902" s="436"/>
      <c r="BR902" s="436"/>
      <c r="BS902" s="436"/>
      <c r="BT902" s="436"/>
      <c r="BU902" s="436"/>
      <c r="BV902" s="436"/>
      <c r="BW902" s="436"/>
      <c r="BX902" s="1"/>
      <c r="BY902" s="1"/>
      <c r="BZ902" s="1"/>
      <c r="CA902" s="1"/>
      <c r="CB902" s="1"/>
      <c r="CC902" s="1"/>
      <c r="CD902" s="1"/>
      <c r="CE902" s="1"/>
      <c r="CF902" s="1"/>
      <c r="CG902" s="1"/>
    </row>
    <row r="903" spans="1:85" ht="15.75" customHeight="1">
      <c r="A903" s="500"/>
      <c r="B903" s="216"/>
      <c r="C903" s="527"/>
      <c r="D903" s="216"/>
      <c r="E903" s="503"/>
      <c r="F903" s="436"/>
      <c r="G903" s="436"/>
      <c r="H903" s="503"/>
      <c r="I903" s="504"/>
      <c r="J903" s="504"/>
      <c r="K903" s="503"/>
      <c r="L903" s="505"/>
      <c r="M903" s="436"/>
      <c r="N903" s="503"/>
      <c r="O903" s="436"/>
      <c r="P903" s="436"/>
      <c r="Q903" s="436"/>
      <c r="R903" s="436"/>
      <c r="S903" s="436"/>
      <c r="T903" s="436"/>
      <c r="U903" s="503"/>
      <c r="V903" s="503"/>
      <c r="W903" s="503"/>
      <c r="X903" s="506"/>
      <c r="Y903" s="506"/>
      <c r="Z903" s="506"/>
      <c r="AA903" s="436"/>
      <c r="AB903" s="436"/>
      <c r="AC903" s="436"/>
      <c r="AD903" s="436"/>
      <c r="AE903" s="508"/>
      <c r="AF903" s="508"/>
      <c r="AG903" s="508"/>
      <c r="AH903" s="508"/>
      <c r="AI903" s="436"/>
      <c r="AJ903" s="436"/>
      <c r="AK903" s="436"/>
      <c r="AL903" s="436"/>
      <c r="AM903" s="436"/>
      <c r="AN903" s="436"/>
      <c r="AO903" s="436"/>
      <c r="AP903" s="436"/>
      <c r="AQ903" s="436"/>
      <c r="AR903" s="436"/>
      <c r="AS903" s="436"/>
      <c r="AT903" s="436"/>
      <c r="AU903" s="436"/>
      <c r="AV903" s="436"/>
      <c r="AW903" s="436"/>
      <c r="AX903" s="436"/>
      <c r="AY903" s="436"/>
      <c r="AZ903" s="436"/>
      <c r="BA903" s="436"/>
      <c r="BB903" s="436"/>
      <c r="BC903" s="436"/>
      <c r="BD903" s="436"/>
      <c r="BE903" s="436"/>
      <c r="BF903" s="436"/>
      <c r="BG903" s="436"/>
      <c r="BH903" s="436"/>
      <c r="BI903" s="436"/>
      <c r="BJ903" s="436"/>
      <c r="BK903" s="436"/>
      <c r="BL903" s="436"/>
      <c r="BM903" s="436"/>
      <c r="BN903" s="436"/>
      <c r="BO903" s="339"/>
      <c r="BP903" s="436"/>
      <c r="BQ903" s="436"/>
      <c r="BR903" s="436"/>
      <c r="BS903" s="436"/>
      <c r="BT903" s="436"/>
      <c r="BU903" s="436"/>
      <c r="BV903" s="436"/>
      <c r="BW903" s="436"/>
      <c r="BX903" s="1"/>
      <c r="BY903" s="1"/>
      <c r="BZ903" s="1"/>
      <c r="CA903" s="1"/>
      <c r="CB903" s="1"/>
      <c r="CC903" s="1"/>
      <c r="CD903" s="1"/>
      <c r="CE903" s="1"/>
      <c r="CF903" s="1"/>
      <c r="CG903" s="1"/>
    </row>
    <row r="904" spans="1:85" ht="15.75" customHeight="1">
      <c r="A904" s="500"/>
      <c r="B904" s="216"/>
      <c r="C904" s="527"/>
      <c r="D904" s="216"/>
      <c r="E904" s="503"/>
      <c r="F904" s="436"/>
      <c r="G904" s="436"/>
      <c r="H904" s="503"/>
      <c r="I904" s="504"/>
      <c r="J904" s="504"/>
      <c r="K904" s="503"/>
      <c r="L904" s="505"/>
      <c r="M904" s="436"/>
      <c r="N904" s="503"/>
      <c r="O904" s="436"/>
      <c r="P904" s="436"/>
      <c r="Q904" s="436"/>
      <c r="R904" s="436"/>
      <c r="S904" s="436"/>
      <c r="T904" s="436"/>
      <c r="U904" s="503"/>
      <c r="V904" s="503"/>
      <c r="W904" s="503"/>
      <c r="X904" s="506"/>
      <c r="Y904" s="506"/>
      <c r="Z904" s="506"/>
      <c r="AA904" s="436"/>
      <c r="AB904" s="436"/>
      <c r="AC904" s="436"/>
      <c r="AD904" s="436"/>
      <c r="AE904" s="508"/>
      <c r="AF904" s="508"/>
      <c r="AG904" s="508"/>
      <c r="AH904" s="508"/>
      <c r="AI904" s="436"/>
      <c r="AJ904" s="436"/>
      <c r="AK904" s="436"/>
      <c r="AL904" s="436"/>
      <c r="AM904" s="436"/>
      <c r="AN904" s="436"/>
      <c r="AO904" s="436"/>
      <c r="AP904" s="436"/>
      <c r="AQ904" s="436"/>
      <c r="AR904" s="436"/>
      <c r="AS904" s="436"/>
      <c r="AT904" s="436"/>
      <c r="AU904" s="436"/>
      <c r="AV904" s="436"/>
      <c r="AW904" s="436"/>
      <c r="AX904" s="436"/>
      <c r="AY904" s="436"/>
      <c r="AZ904" s="436"/>
      <c r="BA904" s="436"/>
      <c r="BB904" s="436"/>
      <c r="BC904" s="436"/>
      <c r="BD904" s="436"/>
      <c r="BE904" s="436"/>
      <c r="BF904" s="436"/>
      <c r="BG904" s="436"/>
      <c r="BH904" s="436"/>
      <c r="BI904" s="436"/>
      <c r="BJ904" s="436"/>
      <c r="BK904" s="436"/>
      <c r="BL904" s="436"/>
      <c r="BM904" s="436"/>
      <c r="BN904" s="436"/>
      <c r="BO904" s="339"/>
      <c r="BP904" s="436"/>
      <c r="BQ904" s="436"/>
      <c r="BR904" s="436"/>
      <c r="BS904" s="436"/>
      <c r="BT904" s="436"/>
      <c r="BU904" s="436"/>
      <c r="BV904" s="436"/>
      <c r="BW904" s="436"/>
      <c r="BX904" s="1"/>
      <c r="BY904" s="1"/>
      <c r="BZ904" s="1"/>
      <c r="CA904" s="1"/>
      <c r="CB904" s="1"/>
      <c r="CC904" s="1"/>
      <c r="CD904" s="1"/>
      <c r="CE904" s="1"/>
      <c r="CF904" s="1"/>
      <c r="CG904" s="1"/>
    </row>
    <row r="905" spans="1:85" ht="15.75" customHeight="1">
      <c r="A905" s="500"/>
      <c r="B905" s="216"/>
      <c r="C905" s="527"/>
      <c r="D905" s="216"/>
      <c r="E905" s="503"/>
      <c r="F905" s="436"/>
      <c r="G905" s="436"/>
      <c r="H905" s="503"/>
      <c r="I905" s="504"/>
      <c r="J905" s="504"/>
      <c r="K905" s="503"/>
      <c r="L905" s="505"/>
      <c r="M905" s="436"/>
      <c r="N905" s="503"/>
      <c r="O905" s="436"/>
      <c r="P905" s="436"/>
      <c r="Q905" s="436"/>
      <c r="R905" s="436"/>
      <c r="S905" s="436"/>
      <c r="T905" s="436"/>
      <c r="U905" s="503"/>
      <c r="V905" s="503"/>
      <c r="W905" s="503"/>
      <c r="X905" s="506"/>
      <c r="Y905" s="506"/>
      <c r="Z905" s="506"/>
      <c r="AA905" s="436"/>
      <c r="AB905" s="436"/>
      <c r="AC905" s="436"/>
      <c r="AD905" s="436"/>
      <c r="AE905" s="508"/>
      <c r="AF905" s="508"/>
      <c r="AG905" s="508"/>
      <c r="AH905" s="508"/>
      <c r="AI905" s="436"/>
      <c r="AJ905" s="436"/>
      <c r="AK905" s="436"/>
      <c r="AL905" s="436"/>
      <c r="AM905" s="436"/>
      <c r="AN905" s="436"/>
      <c r="AO905" s="436"/>
      <c r="AP905" s="436"/>
      <c r="AQ905" s="436"/>
      <c r="AR905" s="436"/>
      <c r="AS905" s="436"/>
      <c r="AT905" s="436"/>
      <c r="AU905" s="436"/>
      <c r="AV905" s="436"/>
      <c r="AW905" s="436"/>
      <c r="AX905" s="436"/>
      <c r="AY905" s="436"/>
      <c r="AZ905" s="436"/>
      <c r="BA905" s="436"/>
      <c r="BB905" s="436"/>
      <c r="BC905" s="436"/>
      <c r="BD905" s="436"/>
      <c r="BE905" s="436"/>
      <c r="BF905" s="436"/>
      <c r="BG905" s="436"/>
      <c r="BH905" s="436"/>
      <c r="BI905" s="436"/>
      <c r="BJ905" s="436"/>
      <c r="BK905" s="436"/>
      <c r="BL905" s="436"/>
      <c r="BM905" s="436"/>
      <c r="BN905" s="436"/>
      <c r="BO905" s="339"/>
      <c r="BP905" s="436"/>
      <c r="BQ905" s="436"/>
      <c r="BR905" s="436"/>
      <c r="BS905" s="436"/>
      <c r="BT905" s="436"/>
      <c r="BU905" s="436"/>
      <c r="BV905" s="436"/>
      <c r="BW905" s="436"/>
      <c r="BX905" s="1"/>
      <c r="BY905" s="1"/>
      <c r="BZ905" s="1"/>
      <c r="CA905" s="1"/>
      <c r="CB905" s="1"/>
      <c r="CC905" s="1"/>
      <c r="CD905" s="1"/>
      <c r="CE905" s="1"/>
      <c r="CF905" s="1"/>
      <c r="CG905" s="1"/>
    </row>
    <row r="906" spans="1:85" ht="15.75" customHeight="1">
      <c r="A906" s="500"/>
      <c r="B906" s="216"/>
      <c r="C906" s="527"/>
      <c r="D906" s="216"/>
      <c r="E906" s="503"/>
      <c r="F906" s="436"/>
      <c r="G906" s="436"/>
      <c r="H906" s="503"/>
      <c r="I906" s="504"/>
      <c r="J906" s="504"/>
      <c r="K906" s="503"/>
      <c r="L906" s="505"/>
      <c r="M906" s="436"/>
      <c r="N906" s="503"/>
      <c r="O906" s="436"/>
      <c r="P906" s="436"/>
      <c r="Q906" s="436"/>
      <c r="R906" s="436"/>
      <c r="S906" s="436"/>
      <c r="T906" s="436"/>
      <c r="U906" s="503"/>
      <c r="V906" s="503"/>
      <c r="W906" s="503"/>
      <c r="X906" s="506"/>
      <c r="Y906" s="506"/>
      <c r="Z906" s="506"/>
      <c r="AA906" s="436"/>
      <c r="AB906" s="436"/>
      <c r="AC906" s="436"/>
      <c r="AD906" s="436"/>
      <c r="AE906" s="508"/>
      <c r="AF906" s="508"/>
      <c r="AG906" s="508"/>
      <c r="AH906" s="508"/>
      <c r="AI906" s="436"/>
      <c r="AJ906" s="436"/>
      <c r="AK906" s="436"/>
      <c r="AL906" s="436"/>
      <c r="AM906" s="436"/>
      <c r="AN906" s="436"/>
      <c r="AO906" s="436"/>
      <c r="AP906" s="436"/>
      <c r="AQ906" s="436"/>
      <c r="AR906" s="436"/>
      <c r="AS906" s="436"/>
      <c r="AT906" s="436"/>
      <c r="AU906" s="436"/>
      <c r="AV906" s="436"/>
      <c r="AW906" s="436"/>
      <c r="AX906" s="436"/>
      <c r="AY906" s="436"/>
      <c r="AZ906" s="436"/>
      <c r="BA906" s="436"/>
      <c r="BB906" s="436"/>
      <c r="BC906" s="436"/>
      <c r="BD906" s="436"/>
      <c r="BE906" s="436"/>
      <c r="BF906" s="436"/>
      <c r="BG906" s="436"/>
      <c r="BH906" s="436"/>
      <c r="BI906" s="436"/>
      <c r="BJ906" s="436"/>
      <c r="BK906" s="436"/>
      <c r="BL906" s="436"/>
      <c r="BM906" s="436"/>
      <c r="BN906" s="436"/>
      <c r="BO906" s="339"/>
      <c r="BP906" s="436"/>
      <c r="BQ906" s="436"/>
      <c r="BR906" s="436"/>
      <c r="BS906" s="436"/>
      <c r="BT906" s="436"/>
      <c r="BU906" s="436"/>
      <c r="BV906" s="436"/>
      <c r="BW906" s="436"/>
      <c r="BX906" s="1"/>
      <c r="BY906" s="1"/>
      <c r="BZ906" s="1"/>
      <c r="CA906" s="1"/>
      <c r="CB906" s="1"/>
      <c r="CC906" s="1"/>
      <c r="CD906" s="1"/>
      <c r="CE906" s="1"/>
      <c r="CF906" s="1"/>
      <c r="CG906" s="1"/>
    </row>
    <row r="907" spans="1:85" ht="15.75" customHeight="1">
      <c r="A907" s="500"/>
      <c r="B907" s="216"/>
      <c r="C907" s="527"/>
      <c r="D907" s="216"/>
      <c r="E907" s="503"/>
      <c r="F907" s="436"/>
      <c r="G907" s="436"/>
      <c r="H907" s="503"/>
      <c r="I907" s="504"/>
      <c r="J907" s="504"/>
      <c r="K907" s="503"/>
      <c r="L907" s="505"/>
      <c r="M907" s="436"/>
      <c r="N907" s="503"/>
      <c r="O907" s="436"/>
      <c r="P907" s="436"/>
      <c r="Q907" s="436"/>
      <c r="R907" s="436"/>
      <c r="S907" s="436"/>
      <c r="T907" s="436"/>
      <c r="U907" s="503"/>
      <c r="V907" s="503"/>
      <c r="W907" s="503"/>
      <c r="X907" s="506"/>
      <c r="Y907" s="506"/>
      <c r="Z907" s="506"/>
      <c r="AA907" s="436"/>
      <c r="AB907" s="436"/>
      <c r="AC907" s="436"/>
      <c r="AD907" s="436"/>
      <c r="AE907" s="508"/>
      <c r="AF907" s="508"/>
      <c r="AG907" s="508"/>
      <c r="AH907" s="508"/>
      <c r="AI907" s="436"/>
      <c r="AJ907" s="436"/>
      <c r="AK907" s="436"/>
      <c r="AL907" s="436"/>
      <c r="AM907" s="436"/>
      <c r="AN907" s="436"/>
      <c r="AO907" s="436"/>
      <c r="AP907" s="436"/>
      <c r="AQ907" s="436"/>
      <c r="AR907" s="436"/>
      <c r="AS907" s="436"/>
      <c r="AT907" s="436"/>
      <c r="AU907" s="436"/>
      <c r="AV907" s="436"/>
      <c r="AW907" s="436"/>
      <c r="AX907" s="436"/>
      <c r="AY907" s="436"/>
      <c r="AZ907" s="436"/>
      <c r="BA907" s="436"/>
      <c r="BB907" s="436"/>
      <c r="BC907" s="436"/>
      <c r="BD907" s="436"/>
      <c r="BE907" s="436"/>
      <c r="BF907" s="436"/>
      <c r="BG907" s="436"/>
      <c r="BH907" s="436"/>
      <c r="BI907" s="436"/>
      <c r="BJ907" s="436"/>
      <c r="BK907" s="436"/>
      <c r="BL907" s="436"/>
      <c r="BM907" s="436"/>
      <c r="BN907" s="436"/>
      <c r="BO907" s="339"/>
      <c r="BP907" s="436"/>
      <c r="BQ907" s="436"/>
      <c r="BR907" s="436"/>
      <c r="BS907" s="436"/>
      <c r="BT907" s="436"/>
      <c r="BU907" s="436"/>
      <c r="BV907" s="436"/>
      <c r="BW907" s="436"/>
      <c r="BX907" s="1"/>
      <c r="BY907" s="1"/>
      <c r="BZ907" s="1"/>
      <c r="CA907" s="1"/>
      <c r="CB907" s="1"/>
      <c r="CC907" s="1"/>
      <c r="CD907" s="1"/>
      <c r="CE907" s="1"/>
      <c r="CF907" s="1"/>
      <c r="CG907" s="1"/>
    </row>
    <row r="908" spans="1:85" ht="15.75" customHeight="1">
      <c r="A908" s="500"/>
      <c r="B908" s="216"/>
      <c r="C908" s="527"/>
      <c r="D908" s="216"/>
      <c r="E908" s="503"/>
      <c r="F908" s="436"/>
      <c r="G908" s="436"/>
      <c r="H908" s="503"/>
      <c r="I908" s="504"/>
      <c r="J908" s="504"/>
      <c r="K908" s="503"/>
      <c r="L908" s="505"/>
      <c r="M908" s="436"/>
      <c r="N908" s="503"/>
      <c r="O908" s="436"/>
      <c r="P908" s="436"/>
      <c r="Q908" s="436"/>
      <c r="R908" s="436"/>
      <c r="S908" s="436"/>
      <c r="T908" s="436"/>
      <c r="U908" s="503"/>
      <c r="V908" s="503"/>
      <c r="W908" s="503"/>
      <c r="X908" s="506"/>
      <c r="Y908" s="506"/>
      <c r="Z908" s="506"/>
      <c r="AA908" s="436"/>
      <c r="AB908" s="436"/>
      <c r="AC908" s="436"/>
      <c r="AD908" s="436"/>
      <c r="AE908" s="508"/>
      <c r="AF908" s="508"/>
      <c r="AG908" s="508"/>
      <c r="AH908" s="508"/>
      <c r="AI908" s="436"/>
      <c r="AJ908" s="436"/>
      <c r="AK908" s="436"/>
      <c r="AL908" s="436"/>
      <c r="AM908" s="436"/>
      <c r="AN908" s="436"/>
      <c r="AO908" s="436"/>
      <c r="AP908" s="436"/>
      <c r="AQ908" s="436"/>
      <c r="AR908" s="436"/>
      <c r="AS908" s="436"/>
      <c r="AT908" s="436"/>
      <c r="AU908" s="436"/>
      <c r="AV908" s="436"/>
      <c r="AW908" s="436"/>
      <c r="AX908" s="436"/>
      <c r="AY908" s="436"/>
      <c r="AZ908" s="436"/>
      <c r="BA908" s="436"/>
      <c r="BB908" s="436"/>
      <c r="BC908" s="436"/>
      <c r="BD908" s="436"/>
      <c r="BE908" s="436"/>
      <c r="BF908" s="436"/>
      <c r="BG908" s="436"/>
      <c r="BH908" s="436"/>
      <c r="BI908" s="436"/>
      <c r="BJ908" s="436"/>
      <c r="BK908" s="436"/>
      <c r="BL908" s="436"/>
      <c r="BM908" s="436"/>
      <c r="BN908" s="436"/>
      <c r="BO908" s="339"/>
      <c r="BP908" s="436"/>
      <c r="BQ908" s="436"/>
      <c r="BR908" s="436"/>
      <c r="BS908" s="436"/>
      <c r="BT908" s="436"/>
      <c r="BU908" s="436"/>
      <c r="BV908" s="436"/>
      <c r="BW908" s="436"/>
      <c r="BX908" s="1"/>
      <c r="BY908" s="1"/>
      <c r="BZ908" s="1"/>
      <c r="CA908" s="1"/>
      <c r="CB908" s="1"/>
      <c r="CC908" s="1"/>
      <c r="CD908" s="1"/>
      <c r="CE908" s="1"/>
      <c r="CF908" s="1"/>
      <c r="CG908" s="1"/>
    </row>
    <row r="909" spans="1:85" ht="15.75" customHeight="1">
      <c r="A909" s="500"/>
      <c r="B909" s="216"/>
      <c r="C909" s="527"/>
      <c r="D909" s="216"/>
      <c r="E909" s="503"/>
      <c r="F909" s="436"/>
      <c r="G909" s="436"/>
      <c r="H909" s="503"/>
      <c r="I909" s="504"/>
      <c r="J909" s="504"/>
      <c r="K909" s="503"/>
      <c r="L909" s="505"/>
      <c r="M909" s="436"/>
      <c r="N909" s="503"/>
      <c r="O909" s="436"/>
      <c r="P909" s="436"/>
      <c r="Q909" s="436"/>
      <c r="R909" s="436"/>
      <c r="S909" s="436"/>
      <c r="T909" s="436"/>
      <c r="U909" s="503"/>
      <c r="V909" s="503"/>
      <c r="W909" s="503"/>
      <c r="X909" s="506"/>
      <c r="Y909" s="506"/>
      <c r="Z909" s="506"/>
      <c r="AA909" s="436"/>
      <c r="AB909" s="436"/>
      <c r="AC909" s="436"/>
      <c r="AD909" s="436"/>
      <c r="AE909" s="508"/>
      <c r="AF909" s="508"/>
      <c r="AG909" s="508"/>
      <c r="AH909" s="508"/>
      <c r="AI909" s="436"/>
      <c r="AJ909" s="436"/>
      <c r="AK909" s="436"/>
      <c r="AL909" s="436"/>
      <c r="AM909" s="436"/>
      <c r="AN909" s="436"/>
      <c r="AO909" s="436"/>
      <c r="AP909" s="436"/>
      <c r="AQ909" s="436"/>
      <c r="AR909" s="436"/>
      <c r="AS909" s="436"/>
      <c r="AT909" s="436"/>
      <c r="AU909" s="436"/>
      <c r="AV909" s="436"/>
      <c r="AW909" s="436"/>
      <c r="AX909" s="436"/>
      <c r="AY909" s="436"/>
      <c r="AZ909" s="436"/>
      <c r="BA909" s="436"/>
      <c r="BB909" s="436"/>
      <c r="BC909" s="436"/>
      <c r="BD909" s="436"/>
      <c r="BE909" s="436"/>
      <c r="BF909" s="436"/>
      <c r="BG909" s="436"/>
      <c r="BH909" s="436"/>
      <c r="BI909" s="436"/>
      <c r="BJ909" s="436"/>
      <c r="BK909" s="436"/>
      <c r="BL909" s="436"/>
      <c r="BM909" s="436"/>
      <c r="BN909" s="436"/>
      <c r="BO909" s="339"/>
      <c r="BP909" s="436"/>
      <c r="BQ909" s="436"/>
      <c r="BR909" s="436"/>
      <c r="BS909" s="436"/>
      <c r="BT909" s="436"/>
      <c r="BU909" s="436"/>
      <c r="BV909" s="436"/>
      <c r="BW909" s="436"/>
      <c r="BX909" s="1"/>
      <c r="BY909" s="1"/>
      <c r="BZ909" s="1"/>
      <c r="CA909" s="1"/>
      <c r="CB909" s="1"/>
      <c r="CC909" s="1"/>
      <c r="CD909" s="1"/>
      <c r="CE909" s="1"/>
      <c r="CF909" s="1"/>
      <c r="CG909" s="1"/>
    </row>
    <row r="910" spans="1:85" ht="15.75" customHeight="1">
      <c r="A910" s="500"/>
      <c r="B910" s="216"/>
      <c r="C910" s="527"/>
      <c r="D910" s="216"/>
      <c r="E910" s="503"/>
      <c r="F910" s="436"/>
      <c r="G910" s="436"/>
      <c r="H910" s="503"/>
      <c r="I910" s="504"/>
      <c r="J910" s="504"/>
      <c r="K910" s="503"/>
      <c r="L910" s="505"/>
      <c r="M910" s="436"/>
      <c r="N910" s="503"/>
      <c r="O910" s="436"/>
      <c r="P910" s="436"/>
      <c r="Q910" s="436"/>
      <c r="R910" s="436"/>
      <c r="S910" s="436"/>
      <c r="T910" s="436"/>
      <c r="U910" s="503"/>
      <c r="V910" s="503"/>
      <c r="W910" s="503"/>
      <c r="X910" s="506"/>
      <c r="Y910" s="506"/>
      <c r="Z910" s="506"/>
      <c r="AA910" s="436"/>
      <c r="AB910" s="436"/>
      <c r="AC910" s="436"/>
      <c r="AD910" s="436"/>
      <c r="AE910" s="508"/>
      <c r="AF910" s="508"/>
      <c r="AG910" s="508"/>
      <c r="AH910" s="508"/>
      <c r="AI910" s="436"/>
      <c r="AJ910" s="436"/>
      <c r="AK910" s="436"/>
      <c r="AL910" s="436"/>
      <c r="AM910" s="436"/>
      <c r="AN910" s="436"/>
      <c r="AO910" s="436"/>
      <c r="AP910" s="436"/>
      <c r="AQ910" s="436"/>
      <c r="AR910" s="436"/>
      <c r="AS910" s="436"/>
      <c r="AT910" s="436"/>
      <c r="AU910" s="436"/>
      <c r="AV910" s="436"/>
      <c r="AW910" s="436"/>
      <c r="AX910" s="436"/>
      <c r="AY910" s="436"/>
      <c r="AZ910" s="436"/>
      <c r="BA910" s="436"/>
      <c r="BB910" s="436"/>
      <c r="BC910" s="436"/>
      <c r="BD910" s="436"/>
      <c r="BE910" s="436"/>
      <c r="BF910" s="436"/>
      <c r="BG910" s="436"/>
      <c r="BH910" s="436"/>
      <c r="BI910" s="436"/>
      <c r="BJ910" s="436"/>
      <c r="BK910" s="436"/>
      <c r="BL910" s="436"/>
      <c r="BM910" s="436"/>
      <c r="BN910" s="436"/>
      <c r="BO910" s="339"/>
      <c r="BP910" s="436"/>
      <c r="BQ910" s="436"/>
      <c r="BR910" s="436"/>
      <c r="BS910" s="436"/>
      <c r="BT910" s="436"/>
      <c r="BU910" s="436"/>
      <c r="BV910" s="436"/>
      <c r="BW910" s="436"/>
      <c r="BX910" s="1"/>
      <c r="BY910" s="1"/>
      <c r="BZ910" s="1"/>
      <c r="CA910" s="1"/>
      <c r="CB910" s="1"/>
      <c r="CC910" s="1"/>
      <c r="CD910" s="1"/>
      <c r="CE910" s="1"/>
      <c r="CF910" s="1"/>
      <c r="CG910" s="1"/>
    </row>
    <row r="911" spans="1:85" ht="15.75" customHeight="1">
      <c r="A911" s="500"/>
      <c r="B911" s="216"/>
      <c r="C911" s="527"/>
      <c r="D911" s="216"/>
      <c r="E911" s="503"/>
      <c r="F911" s="436"/>
      <c r="G911" s="436"/>
      <c r="H911" s="503"/>
      <c r="I911" s="504"/>
      <c r="J911" s="504"/>
      <c r="K911" s="503"/>
      <c r="L911" s="505"/>
      <c r="M911" s="436"/>
      <c r="N911" s="503"/>
      <c r="O911" s="436"/>
      <c r="P911" s="436"/>
      <c r="Q911" s="436"/>
      <c r="R911" s="436"/>
      <c r="S911" s="436"/>
      <c r="T911" s="436"/>
      <c r="U911" s="503"/>
      <c r="V911" s="503"/>
      <c r="W911" s="503"/>
      <c r="X911" s="506"/>
      <c r="Y911" s="506"/>
      <c r="Z911" s="506"/>
      <c r="AA911" s="436"/>
      <c r="AB911" s="436"/>
      <c r="AC911" s="436"/>
      <c r="AD911" s="436"/>
      <c r="AE911" s="508"/>
      <c r="AF911" s="508"/>
      <c r="AG911" s="508"/>
      <c r="AH911" s="508"/>
      <c r="AI911" s="436"/>
      <c r="AJ911" s="436"/>
      <c r="AK911" s="436"/>
      <c r="AL911" s="436"/>
      <c r="AM911" s="436"/>
      <c r="AN911" s="436"/>
      <c r="AO911" s="436"/>
      <c r="AP911" s="436"/>
      <c r="AQ911" s="436"/>
      <c r="AR911" s="436"/>
      <c r="AS911" s="436"/>
      <c r="AT911" s="436"/>
      <c r="AU911" s="436"/>
      <c r="AV911" s="436"/>
      <c r="AW911" s="436"/>
      <c r="AX911" s="436"/>
      <c r="AY911" s="436"/>
      <c r="AZ911" s="436"/>
      <c r="BA911" s="436"/>
      <c r="BB911" s="436"/>
      <c r="BC911" s="436"/>
      <c r="BD911" s="436"/>
      <c r="BE911" s="436"/>
      <c r="BF911" s="436"/>
      <c r="BG911" s="436"/>
      <c r="BH911" s="436"/>
      <c r="BI911" s="436"/>
      <c r="BJ911" s="436"/>
      <c r="BK911" s="436"/>
      <c r="BL911" s="436"/>
      <c r="BM911" s="436"/>
      <c r="BN911" s="436"/>
      <c r="BO911" s="339"/>
      <c r="BP911" s="436"/>
      <c r="BQ911" s="436"/>
      <c r="BR911" s="436"/>
      <c r="BS911" s="436"/>
      <c r="BT911" s="436"/>
      <c r="BU911" s="436"/>
      <c r="BV911" s="436"/>
      <c r="BW911" s="436"/>
      <c r="BX911" s="1"/>
      <c r="BY911" s="1"/>
      <c r="BZ911" s="1"/>
      <c r="CA911" s="1"/>
      <c r="CB911" s="1"/>
      <c r="CC911" s="1"/>
      <c r="CD911" s="1"/>
      <c r="CE911" s="1"/>
      <c r="CF911" s="1"/>
      <c r="CG911" s="1"/>
    </row>
    <row r="912" spans="1:85" ht="15.75" customHeight="1">
      <c r="A912" s="500"/>
      <c r="B912" s="216"/>
      <c r="C912" s="527"/>
      <c r="D912" s="216"/>
      <c r="E912" s="503"/>
      <c r="F912" s="436"/>
      <c r="G912" s="436"/>
      <c r="H912" s="503"/>
      <c r="I912" s="504"/>
      <c r="J912" s="504"/>
      <c r="K912" s="503"/>
      <c r="L912" s="505"/>
      <c r="M912" s="436"/>
      <c r="N912" s="503"/>
      <c r="O912" s="436"/>
      <c r="P912" s="436"/>
      <c r="Q912" s="436"/>
      <c r="R912" s="436"/>
      <c r="S912" s="436"/>
      <c r="T912" s="436"/>
      <c r="U912" s="503"/>
      <c r="V912" s="503"/>
      <c r="W912" s="503"/>
      <c r="X912" s="506"/>
      <c r="Y912" s="506"/>
      <c r="Z912" s="506"/>
      <c r="AA912" s="436"/>
      <c r="AB912" s="436"/>
      <c r="AC912" s="436"/>
      <c r="AD912" s="436"/>
      <c r="AE912" s="508"/>
      <c r="AF912" s="508"/>
      <c r="AG912" s="508"/>
      <c r="AH912" s="508"/>
      <c r="AI912" s="436"/>
      <c r="AJ912" s="436"/>
      <c r="AK912" s="436"/>
      <c r="AL912" s="436"/>
      <c r="AM912" s="436"/>
      <c r="AN912" s="436"/>
      <c r="AO912" s="436"/>
      <c r="AP912" s="436"/>
      <c r="AQ912" s="436"/>
      <c r="AR912" s="436"/>
      <c r="AS912" s="436"/>
      <c r="AT912" s="436"/>
      <c r="AU912" s="436"/>
      <c r="AV912" s="436"/>
      <c r="AW912" s="436"/>
      <c r="AX912" s="436"/>
      <c r="AY912" s="436"/>
      <c r="AZ912" s="436"/>
      <c r="BA912" s="436"/>
      <c r="BB912" s="436"/>
      <c r="BC912" s="436"/>
      <c r="BD912" s="436"/>
      <c r="BE912" s="436"/>
      <c r="BF912" s="436"/>
      <c r="BG912" s="436"/>
      <c r="BH912" s="436"/>
      <c r="BI912" s="436"/>
      <c r="BJ912" s="436"/>
      <c r="BK912" s="436"/>
      <c r="BL912" s="436"/>
      <c r="BM912" s="436"/>
      <c r="BN912" s="436"/>
      <c r="BO912" s="339"/>
      <c r="BP912" s="436"/>
      <c r="BQ912" s="436"/>
      <c r="BR912" s="436"/>
      <c r="BS912" s="436"/>
      <c r="BT912" s="436"/>
      <c r="BU912" s="436"/>
      <c r="BV912" s="436"/>
      <c r="BW912" s="436"/>
      <c r="BX912" s="1"/>
      <c r="BY912" s="1"/>
      <c r="BZ912" s="1"/>
      <c r="CA912" s="1"/>
      <c r="CB912" s="1"/>
      <c r="CC912" s="1"/>
      <c r="CD912" s="1"/>
      <c r="CE912" s="1"/>
      <c r="CF912" s="1"/>
      <c r="CG912" s="1"/>
    </row>
    <row r="913" spans="1:85" ht="15.75" customHeight="1">
      <c r="A913" s="500"/>
      <c r="B913" s="216"/>
      <c r="C913" s="527"/>
      <c r="D913" s="216"/>
      <c r="E913" s="503"/>
      <c r="F913" s="436"/>
      <c r="G913" s="436"/>
      <c r="H913" s="503"/>
      <c r="I913" s="504"/>
      <c r="J913" s="504"/>
      <c r="K913" s="503"/>
      <c r="L913" s="505"/>
      <c r="M913" s="436"/>
      <c r="N913" s="503"/>
      <c r="O913" s="436"/>
      <c r="P913" s="436"/>
      <c r="Q913" s="436"/>
      <c r="R913" s="436"/>
      <c r="S913" s="436"/>
      <c r="T913" s="436"/>
      <c r="U913" s="503"/>
      <c r="V913" s="503"/>
      <c r="W913" s="503"/>
      <c r="X913" s="506"/>
      <c r="Y913" s="506"/>
      <c r="Z913" s="506"/>
      <c r="AA913" s="436"/>
      <c r="AB913" s="436"/>
      <c r="AC913" s="436"/>
      <c r="AD913" s="436"/>
      <c r="AE913" s="508"/>
      <c r="AF913" s="508"/>
      <c r="AG913" s="508"/>
      <c r="AH913" s="508"/>
      <c r="AI913" s="436"/>
      <c r="AJ913" s="436"/>
      <c r="AK913" s="436"/>
      <c r="AL913" s="436"/>
      <c r="AM913" s="436"/>
      <c r="AN913" s="436"/>
      <c r="AO913" s="436"/>
      <c r="AP913" s="436"/>
      <c r="AQ913" s="436"/>
      <c r="AR913" s="436"/>
      <c r="AS913" s="436"/>
      <c r="AT913" s="436"/>
      <c r="AU913" s="436"/>
      <c r="AV913" s="436"/>
      <c r="AW913" s="436"/>
      <c r="AX913" s="436"/>
      <c r="AY913" s="436"/>
      <c r="AZ913" s="436"/>
      <c r="BA913" s="436"/>
      <c r="BB913" s="436"/>
      <c r="BC913" s="436"/>
      <c r="BD913" s="436"/>
      <c r="BE913" s="436"/>
      <c r="BF913" s="436"/>
      <c r="BG913" s="436"/>
      <c r="BH913" s="436"/>
      <c r="BI913" s="436"/>
      <c r="BJ913" s="436"/>
      <c r="BK913" s="436"/>
      <c r="BL913" s="436"/>
      <c r="BM913" s="436"/>
      <c r="BN913" s="436"/>
      <c r="BO913" s="339"/>
      <c r="BP913" s="436"/>
      <c r="BQ913" s="436"/>
      <c r="BR913" s="436"/>
      <c r="BS913" s="436"/>
      <c r="BT913" s="436"/>
      <c r="BU913" s="436"/>
      <c r="BV913" s="436"/>
      <c r="BW913" s="436"/>
      <c r="BX913" s="1"/>
      <c r="BY913" s="1"/>
      <c r="BZ913" s="1"/>
      <c r="CA913" s="1"/>
      <c r="CB913" s="1"/>
      <c r="CC913" s="1"/>
      <c r="CD913" s="1"/>
      <c r="CE913" s="1"/>
      <c r="CF913" s="1"/>
      <c r="CG913" s="1"/>
    </row>
    <row r="914" spans="1:85" ht="15.75" customHeight="1">
      <c r="A914" s="500"/>
      <c r="B914" s="216"/>
      <c r="C914" s="527"/>
      <c r="D914" s="216"/>
      <c r="E914" s="503"/>
      <c r="F914" s="436"/>
      <c r="G914" s="436"/>
      <c r="H914" s="503"/>
      <c r="I914" s="504"/>
      <c r="J914" s="504"/>
      <c r="K914" s="503"/>
      <c r="L914" s="505"/>
      <c r="M914" s="436"/>
      <c r="N914" s="503"/>
      <c r="O914" s="436"/>
      <c r="P914" s="436"/>
      <c r="Q914" s="436"/>
      <c r="R914" s="436"/>
      <c r="S914" s="436"/>
      <c r="T914" s="436"/>
      <c r="U914" s="503"/>
      <c r="V914" s="503"/>
      <c r="W914" s="503"/>
      <c r="X914" s="506"/>
      <c r="Y914" s="506"/>
      <c r="Z914" s="506"/>
      <c r="AA914" s="436"/>
      <c r="AB914" s="436"/>
      <c r="AC914" s="436"/>
      <c r="AD914" s="436"/>
      <c r="AE914" s="508"/>
      <c r="AF914" s="508"/>
      <c r="AG914" s="508"/>
      <c r="AH914" s="508"/>
      <c r="AI914" s="436"/>
      <c r="AJ914" s="436"/>
      <c r="AK914" s="436"/>
      <c r="AL914" s="436"/>
      <c r="AM914" s="436"/>
      <c r="AN914" s="436"/>
      <c r="AO914" s="436"/>
      <c r="AP914" s="436"/>
      <c r="AQ914" s="436"/>
      <c r="AR914" s="436"/>
      <c r="AS914" s="436"/>
      <c r="AT914" s="436"/>
      <c r="AU914" s="436"/>
      <c r="AV914" s="436"/>
      <c r="AW914" s="436"/>
      <c r="AX914" s="436"/>
      <c r="AY914" s="436"/>
      <c r="AZ914" s="436"/>
      <c r="BA914" s="436"/>
      <c r="BB914" s="436"/>
      <c r="BC914" s="436"/>
      <c r="BD914" s="436"/>
      <c r="BE914" s="436"/>
      <c r="BF914" s="436"/>
      <c r="BG914" s="436"/>
      <c r="BH914" s="436"/>
      <c r="BI914" s="436"/>
      <c r="BJ914" s="436"/>
      <c r="BK914" s="436"/>
      <c r="BL914" s="436"/>
      <c r="BM914" s="436"/>
      <c r="BN914" s="436"/>
      <c r="BO914" s="339"/>
      <c r="BP914" s="436"/>
      <c r="BQ914" s="436"/>
      <c r="BR914" s="436"/>
      <c r="BS914" s="436"/>
      <c r="BT914" s="436"/>
      <c r="BU914" s="436"/>
      <c r="BV914" s="436"/>
      <c r="BW914" s="436"/>
      <c r="BX914" s="1"/>
      <c r="BY914" s="1"/>
      <c r="BZ914" s="1"/>
      <c r="CA914" s="1"/>
      <c r="CB914" s="1"/>
      <c r="CC914" s="1"/>
      <c r="CD914" s="1"/>
      <c r="CE914" s="1"/>
      <c r="CF914" s="1"/>
      <c r="CG914" s="1"/>
    </row>
    <row r="915" spans="1:85" ht="15.75" customHeight="1">
      <c r="A915" s="500"/>
      <c r="B915" s="216"/>
      <c r="C915" s="527"/>
      <c r="D915" s="216"/>
      <c r="E915" s="503"/>
      <c r="F915" s="436"/>
      <c r="G915" s="436"/>
      <c r="H915" s="503"/>
      <c r="I915" s="504"/>
      <c r="J915" s="504"/>
      <c r="K915" s="503"/>
      <c r="L915" s="505"/>
      <c r="M915" s="436"/>
      <c r="N915" s="503"/>
      <c r="O915" s="436"/>
      <c r="P915" s="436"/>
      <c r="Q915" s="436"/>
      <c r="R915" s="436"/>
      <c r="S915" s="436"/>
      <c r="T915" s="436"/>
      <c r="U915" s="503"/>
      <c r="V915" s="503"/>
      <c r="W915" s="503"/>
      <c r="X915" s="506"/>
      <c r="Y915" s="506"/>
      <c r="Z915" s="506"/>
      <c r="AA915" s="436"/>
      <c r="AB915" s="436"/>
      <c r="AC915" s="436"/>
      <c r="AD915" s="436"/>
      <c r="AE915" s="508"/>
      <c r="AF915" s="508"/>
      <c r="AG915" s="508"/>
      <c r="AH915" s="508"/>
      <c r="AI915" s="436"/>
      <c r="AJ915" s="436"/>
      <c r="AK915" s="436"/>
      <c r="AL915" s="436"/>
      <c r="AM915" s="436"/>
      <c r="AN915" s="436"/>
      <c r="AO915" s="436"/>
      <c r="AP915" s="436"/>
      <c r="AQ915" s="436"/>
      <c r="AR915" s="436"/>
      <c r="AS915" s="436"/>
      <c r="AT915" s="436"/>
      <c r="AU915" s="436"/>
      <c r="AV915" s="436"/>
      <c r="AW915" s="436"/>
      <c r="AX915" s="436"/>
      <c r="AY915" s="436"/>
      <c r="AZ915" s="436"/>
      <c r="BA915" s="436"/>
      <c r="BB915" s="436"/>
      <c r="BC915" s="436"/>
      <c r="BD915" s="436"/>
      <c r="BE915" s="436"/>
      <c r="BF915" s="436"/>
      <c r="BG915" s="436"/>
      <c r="BH915" s="436"/>
      <c r="BI915" s="436"/>
      <c r="BJ915" s="436"/>
      <c r="BK915" s="436"/>
      <c r="BL915" s="436"/>
      <c r="BM915" s="436"/>
      <c r="BN915" s="436"/>
      <c r="BO915" s="339"/>
      <c r="BP915" s="436"/>
      <c r="BQ915" s="436"/>
      <c r="BR915" s="436"/>
      <c r="BS915" s="436"/>
      <c r="BT915" s="436"/>
      <c r="BU915" s="436"/>
      <c r="BV915" s="436"/>
      <c r="BW915" s="436"/>
      <c r="BX915" s="1"/>
      <c r="BY915" s="1"/>
      <c r="BZ915" s="1"/>
      <c r="CA915" s="1"/>
      <c r="CB915" s="1"/>
      <c r="CC915" s="1"/>
      <c r="CD915" s="1"/>
      <c r="CE915" s="1"/>
      <c r="CF915" s="1"/>
      <c r="CG915" s="1"/>
    </row>
    <row r="916" spans="1:85" ht="15.75" customHeight="1">
      <c r="A916" s="500"/>
      <c r="B916" s="216"/>
      <c r="C916" s="527"/>
      <c r="D916" s="216"/>
      <c r="E916" s="503"/>
      <c r="F916" s="436"/>
      <c r="G916" s="436"/>
      <c r="H916" s="503"/>
      <c r="I916" s="504"/>
      <c r="J916" s="504"/>
      <c r="K916" s="503"/>
      <c r="L916" s="505"/>
      <c r="M916" s="436"/>
      <c r="N916" s="503"/>
      <c r="O916" s="436"/>
      <c r="P916" s="436"/>
      <c r="Q916" s="436"/>
      <c r="R916" s="436"/>
      <c r="S916" s="436"/>
      <c r="T916" s="436"/>
      <c r="U916" s="503"/>
      <c r="V916" s="503"/>
      <c r="W916" s="503"/>
      <c r="X916" s="506"/>
      <c r="Y916" s="506"/>
      <c r="Z916" s="506"/>
      <c r="AA916" s="436"/>
      <c r="AB916" s="436"/>
      <c r="AC916" s="436"/>
      <c r="AD916" s="436"/>
      <c r="AE916" s="508"/>
      <c r="AF916" s="508"/>
      <c r="AG916" s="508"/>
      <c r="AH916" s="508"/>
      <c r="AI916" s="436"/>
      <c r="AJ916" s="436"/>
      <c r="AK916" s="436"/>
      <c r="AL916" s="436"/>
      <c r="AM916" s="436"/>
      <c r="AN916" s="436"/>
      <c r="AO916" s="436"/>
      <c r="AP916" s="436"/>
      <c r="AQ916" s="436"/>
      <c r="AR916" s="436"/>
      <c r="AS916" s="436"/>
      <c r="AT916" s="436"/>
      <c r="AU916" s="436"/>
      <c r="AV916" s="436"/>
      <c r="AW916" s="436"/>
      <c r="AX916" s="436"/>
      <c r="AY916" s="436"/>
      <c r="AZ916" s="436"/>
      <c r="BA916" s="436"/>
      <c r="BB916" s="436"/>
      <c r="BC916" s="436"/>
      <c r="BD916" s="436"/>
      <c r="BE916" s="436"/>
      <c r="BF916" s="436"/>
      <c r="BG916" s="436"/>
      <c r="BH916" s="436"/>
      <c r="BI916" s="436"/>
      <c r="BJ916" s="436"/>
      <c r="BK916" s="436"/>
      <c r="BL916" s="436"/>
      <c r="BM916" s="436"/>
      <c r="BN916" s="436"/>
      <c r="BO916" s="339"/>
      <c r="BP916" s="436"/>
      <c r="BQ916" s="436"/>
      <c r="BR916" s="436"/>
      <c r="BS916" s="436"/>
      <c r="BT916" s="436"/>
      <c r="BU916" s="436"/>
      <c r="BV916" s="436"/>
      <c r="BW916" s="436"/>
      <c r="BX916" s="1"/>
      <c r="BY916" s="1"/>
      <c r="BZ916" s="1"/>
      <c r="CA916" s="1"/>
      <c r="CB916" s="1"/>
      <c r="CC916" s="1"/>
      <c r="CD916" s="1"/>
      <c r="CE916" s="1"/>
      <c r="CF916" s="1"/>
      <c r="CG916" s="1"/>
    </row>
    <row r="917" spans="1:85" ht="15.75" customHeight="1">
      <c r="A917" s="500"/>
      <c r="B917" s="216"/>
      <c r="C917" s="527"/>
      <c r="D917" s="216"/>
      <c r="E917" s="503"/>
      <c r="F917" s="436"/>
      <c r="G917" s="436"/>
      <c r="H917" s="503"/>
      <c r="I917" s="504"/>
      <c r="J917" s="504"/>
      <c r="K917" s="503"/>
      <c r="L917" s="505"/>
      <c r="M917" s="436"/>
      <c r="N917" s="503"/>
      <c r="O917" s="436"/>
      <c r="P917" s="436"/>
      <c r="Q917" s="436"/>
      <c r="R917" s="436"/>
      <c r="S917" s="436"/>
      <c r="T917" s="436"/>
      <c r="U917" s="503"/>
      <c r="V917" s="503"/>
      <c r="W917" s="503"/>
      <c r="X917" s="506"/>
      <c r="Y917" s="506"/>
      <c r="Z917" s="506"/>
      <c r="AA917" s="436"/>
      <c r="AB917" s="436"/>
      <c r="AC917" s="436"/>
      <c r="AD917" s="436"/>
      <c r="AE917" s="508"/>
      <c r="AF917" s="508"/>
      <c r="AG917" s="508"/>
      <c r="AH917" s="508"/>
      <c r="AI917" s="436"/>
      <c r="AJ917" s="436"/>
      <c r="AK917" s="436"/>
      <c r="AL917" s="436"/>
      <c r="AM917" s="436"/>
      <c r="AN917" s="436"/>
      <c r="AO917" s="436"/>
      <c r="AP917" s="436"/>
      <c r="AQ917" s="436"/>
      <c r="AR917" s="436"/>
      <c r="AS917" s="436"/>
      <c r="AT917" s="436"/>
      <c r="AU917" s="436"/>
      <c r="AV917" s="436"/>
      <c r="AW917" s="436"/>
      <c r="AX917" s="436"/>
      <c r="AY917" s="436"/>
      <c r="AZ917" s="436"/>
      <c r="BA917" s="436"/>
      <c r="BB917" s="436"/>
      <c r="BC917" s="436"/>
      <c r="BD917" s="436"/>
      <c r="BE917" s="436"/>
      <c r="BF917" s="436"/>
      <c r="BG917" s="436"/>
      <c r="BH917" s="436"/>
      <c r="BI917" s="436"/>
      <c r="BJ917" s="436"/>
      <c r="BK917" s="436"/>
      <c r="BL917" s="436"/>
      <c r="BM917" s="436"/>
      <c r="BN917" s="436"/>
      <c r="BO917" s="339"/>
      <c r="BP917" s="436"/>
      <c r="BQ917" s="436"/>
      <c r="BR917" s="436"/>
      <c r="BS917" s="436"/>
      <c r="BT917" s="436"/>
      <c r="BU917" s="436"/>
      <c r="BV917" s="436"/>
      <c r="BW917" s="436"/>
      <c r="BX917" s="1"/>
      <c r="BY917" s="1"/>
      <c r="BZ917" s="1"/>
      <c r="CA917" s="1"/>
      <c r="CB917" s="1"/>
      <c r="CC917" s="1"/>
      <c r="CD917" s="1"/>
      <c r="CE917" s="1"/>
      <c r="CF917" s="1"/>
      <c r="CG917" s="1"/>
    </row>
    <row r="918" spans="1:85" ht="15.75" customHeight="1">
      <c r="A918" s="500"/>
      <c r="B918" s="216"/>
      <c r="C918" s="527"/>
      <c r="D918" s="216"/>
      <c r="E918" s="503"/>
      <c r="F918" s="436"/>
      <c r="G918" s="436"/>
      <c r="H918" s="503"/>
      <c r="I918" s="504"/>
      <c r="J918" s="504"/>
      <c r="K918" s="503"/>
      <c r="L918" s="505"/>
      <c r="M918" s="436"/>
      <c r="N918" s="503"/>
      <c r="O918" s="436"/>
      <c r="P918" s="436"/>
      <c r="Q918" s="436"/>
      <c r="R918" s="436"/>
      <c r="S918" s="436"/>
      <c r="T918" s="436"/>
      <c r="U918" s="503"/>
      <c r="V918" s="503"/>
      <c r="W918" s="503"/>
      <c r="X918" s="506"/>
      <c r="Y918" s="506"/>
      <c r="Z918" s="506"/>
      <c r="AA918" s="436"/>
      <c r="AB918" s="436"/>
      <c r="AC918" s="436"/>
      <c r="AD918" s="436"/>
      <c r="AE918" s="508"/>
      <c r="AF918" s="508"/>
      <c r="AG918" s="508"/>
      <c r="AH918" s="508"/>
      <c r="AI918" s="436"/>
      <c r="AJ918" s="436"/>
      <c r="AK918" s="436"/>
      <c r="AL918" s="436"/>
      <c r="AM918" s="436"/>
      <c r="AN918" s="436"/>
      <c r="AO918" s="436"/>
      <c r="AP918" s="436"/>
      <c r="AQ918" s="436"/>
      <c r="AR918" s="436"/>
      <c r="AS918" s="436"/>
      <c r="AT918" s="436"/>
      <c r="AU918" s="436"/>
      <c r="AV918" s="436"/>
      <c r="AW918" s="436"/>
      <c r="AX918" s="436"/>
      <c r="AY918" s="436"/>
      <c r="AZ918" s="436"/>
      <c r="BA918" s="436"/>
      <c r="BB918" s="436"/>
      <c r="BC918" s="436"/>
      <c r="BD918" s="436"/>
      <c r="BE918" s="436"/>
      <c r="BF918" s="436"/>
      <c r="BG918" s="436"/>
      <c r="BH918" s="436"/>
      <c r="BI918" s="436"/>
      <c r="BJ918" s="436"/>
      <c r="BK918" s="436"/>
      <c r="BL918" s="436"/>
      <c r="BM918" s="436"/>
      <c r="BN918" s="436"/>
      <c r="BO918" s="339"/>
      <c r="BP918" s="436"/>
      <c r="BQ918" s="436"/>
      <c r="BR918" s="436"/>
      <c r="BS918" s="436"/>
      <c r="BT918" s="436"/>
      <c r="BU918" s="436"/>
      <c r="BV918" s="436"/>
      <c r="BW918" s="436"/>
      <c r="BX918" s="1"/>
      <c r="BY918" s="1"/>
      <c r="BZ918" s="1"/>
      <c r="CA918" s="1"/>
      <c r="CB918" s="1"/>
      <c r="CC918" s="1"/>
      <c r="CD918" s="1"/>
      <c r="CE918" s="1"/>
      <c r="CF918" s="1"/>
      <c r="CG918" s="1"/>
    </row>
    <row r="919" spans="1:85" ht="15.75" customHeight="1">
      <c r="A919" s="500"/>
      <c r="B919" s="216"/>
      <c r="C919" s="527"/>
      <c r="D919" s="216"/>
      <c r="E919" s="503"/>
      <c r="F919" s="436"/>
      <c r="G919" s="436"/>
      <c r="H919" s="503"/>
      <c r="I919" s="504"/>
      <c r="J919" s="504"/>
      <c r="K919" s="503"/>
      <c r="L919" s="505"/>
      <c r="M919" s="436"/>
      <c r="N919" s="503"/>
      <c r="O919" s="436"/>
      <c r="P919" s="436"/>
      <c r="Q919" s="436"/>
      <c r="R919" s="436"/>
      <c r="S919" s="436"/>
      <c r="T919" s="436"/>
      <c r="U919" s="503"/>
      <c r="V919" s="503"/>
      <c r="W919" s="503"/>
      <c r="X919" s="506"/>
      <c r="Y919" s="506"/>
      <c r="Z919" s="506"/>
      <c r="AA919" s="436"/>
      <c r="AB919" s="436"/>
      <c r="AC919" s="436"/>
      <c r="AD919" s="436"/>
      <c r="AE919" s="508"/>
      <c r="AF919" s="508"/>
      <c r="AG919" s="508"/>
      <c r="AH919" s="508"/>
      <c r="AI919" s="436"/>
      <c r="AJ919" s="436"/>
      <c r="AK919" s="436"/>
      <c r="AL919" s="436"/>
      <c r="AM919" s="436"/>
      <c r="AN919" s="436"/>
      <c r="AO919" s="436"/>
      <c r="AP919" s="436"/>
      <c r="AQ919" s="436"/>
      <c r="AR919" s="436"/>
      <c r="AS919" s="436"/>
      <c r="AT919" s="436"/>
      <c r="AU919" s="436"/>
      <c r="AV919" s="436"/>
      <c r="AW919" s="436"/>
      <c r="AX919" s="436"/>
      <c r="AY919" s="436"/>
      <c r="AZ919" s="436"/>
      <c r="BA919" s="436"/>
      <c r="BB919" s="436"/>
      <c r="BC919" s="436"/>
      <c r="BD919" s="436"/>
      <c r="BE919" s="436"/>
      <c r="BF919" s="436"/>
      <c r="BG919" s="436"/>
      <c r="BH919" s="436"/>
      <c r="BI919" s="436"/>
      <c r="BJ919" s="436"/>
      <c r="BK919" s="436"/>
      <c r="BL919" s="436"/>
      <c r="BM919" s="436"/>
      <c r="BN919" s="436"/>
      <c r="BO919" s="339"/>
      <c r="BP919" s="436"/>
      <c r="BQ919" s="436"/>
      <c r="BR919" s="436"/>
      <c r="BS919" s="436"/>
      <c r="BT919" s="436"/>
      <c r="BU919" s="436"/>
      <c r="BV919" s="436"/>
      <c r="BW919" s="436"/>
      <c r="BX919" s="1"/>
      <c r="BY919" s="1"/>
      <c r="BZ919" s="1"/>
      <c r="CA919" s="1"/>
      <c r="CB919" s="1"/>
      <c r="CC919" s="1"/>
      <c r="CD919" s="1"/>
      <c r="CE919" s="1"/>
      <c r="CF919" s="1"/>
      <c r="CG919" s="1"/>
    </row>
    <row r="920" spans="1:85" ht="15.75" customHeight="1">
      <c r="A920" s="500"/>
      <c r="B920" s="216"/>
      <c r="C920" s="527"/>
      <c r="D920" s="216"/>
      <c r="E920" s="503"/>
      <c r="F920" s="436"/>
      <c r="G920" s="436"/>
      <c r="H920" s="503"/>
      <c r="I920" s="504"/>
      <c r="J920" s="504"/>
      <c r="K920" s="503"/>
      <c r="L920" s="505"/>
      <c r="M920" s="436"/>
      <c r="N920" s="503"/>
      <c r="O920" s="436"/>
      <c r="P920" s="436"/>
      <c r="Q920" s="436"/>
      <c r="R920" s="436"/>
      <c r="S920" s="436"/>
      <c r="T920" s="436"/>
      <c r="U920" s="503"/>
      <c r="V920" s="503"/>
      <c r="W920" s="503"/>
      <c r="X920" s="506"/>
      <c r="Y920" s="506"/>
      <c r="Z920" s="506"/>
      <c r="AA920" s="436"/>
      <c r="AB920" s="436"/>
      <c r="AC920" s="436"/>
      <c r="AD920" s="436"/>
      <c r="AE920" s="508"/>
      <c r="AF920" s="508"/>
      <c r="AG920" s="508"/>
      <c r="AH920" s="508"/>
      <c r="AI920" s="436"/>
      <c r="AJ920" s="436"/>
      <c r="AK920" s="436"/>
      <c r="AL920" s="436"/>
      <c r="AM920" s="436"/>
      <c r="AN920" s="436"/>
      <c r="AO920" s="436"/>
      <c r="AP920" s="436"/>
      <c r="AQ920" s="436"/>
      <c r="AR920" s="436"/>
      <c r="AS920" s="436"/>
      <c r="AT920" s="436"/>
      <c r="AU920" s="436"/>
      <c r="AV920" s="436"/>
      <c r="AW920" s="436"/>
      <c r="AX920" s="436"/>
      <c r="AY920" s="436"/>
      <c r="AZ920" s="436"/>
      <c r="BA920" s="436"/>
      <c r="BB920" s="436"/>
      <c r="BC920" s="436"/>
      <c r="BD920" s="436"/>
      <c r="BE920" s="436"/>
      <c r="BF920" s="436"/>
      <c r="BG920" s="436"/>
      <c r="BH920" s="436"/>
      <c r="BI920" s="436"/>
      <c r="BJ920" s="436"/>
      <c r="BK920" s="436"/>
      <c r="BL920" s="436"/>
      <c r="BM920" s="436"/>
      <c r="BN920" s="436"/>
      <c r="BO920" s="339"/>
      <c r="BP920" s="436"/>
      <c r="BQ920" s="436"/>
      <c r="BR920" s="436"/>
      <c r="BS920" s="436"/>
      <c r="BT920" s="436"/>
      <c r="BU920" s="436"/>
      <c r="BV920" s="436"/>
      <c r="BW920" s="436"/>
      <c r="BX920" s="1"/>
      <c r="BY920" s="1"/>
      <c r="BZ920" s="1"/>
      <c r="CA920" s="1"/>
      <c r="CB920" s="1"/>
      <c r="CC920" s="1"/>
      <c r="CD920" s="1"/>
      <c r="CE920" s="1"/>
      <c r="CF920" s="1"/>
      <c r="CG920" s="1"/>
    </row>
    <row r="921" spans="1:85" ht="15.75" customHeight="1">
      <c r="A921" s="500"/>
      <c r="B921" s="216"/>
      <c r="C921" s="527"/>
      <c r="D921" s="216"/>
      <c r="E921" s="503"/>
      <c r="F921" s="436"/>
      <c r="G921" s="436"/>
      <c r="H921" s="503"/>
      <c r="I921" s="504"/>
      <c r="J921" s="504"/>
      <c r="K921" s="503"/>
      <c r="L921" s="505"/>
      <c r="M921" s="436"/>
      <c r="N921" s="503"/>
      <c r="O921" s="436"/>
      <c r="P921" s="436"/>
      <c r="Q921" s="436"/>
      <c r="R921" s="436"/>
      <c r="S921" s="436"/>
      <c r="T921" s="436"/>
      <c r="U921" s="503"/>
      <c r="V921" s="503"/>
      <c r="W921" s="503"/>
      <c r="X921" s="506"/>
      <c r="Y921" s="506"/>
      <c r="Z921" s="506"/>
      <c r="AA921" s="436"/>
      <c r="AB921" s="436"/>
      <c r="AC921" s="436"/>
      <c r="AD921" s="436"/>
      <c r="AE921" s="508"/>
      <c r="AF921" s="508"/>
      <c r="AG921" s="508"/>
      <c r="AH921" s="508"/>
      <c r="AI921" s="436"/>
      <c r="AJ921" s="436"/>
      <c r="AK921" s="436"/>
      <c r="AL921" s="436"/>
      <c r="AM921" s="436"/>
      <c r="AN921" s="436"/>
      <c r="AO921" s="436"/>
      <c r="AP921" s="436"/>
      <c r="AQ921" s="436"/>
      <c r="AR921" s="436"/>
      <c r="AS921" s="436"/>
      <c r="AT921" s="436"/>
      <c r="AU921" s="436"/>
      <c r="AV921" s="436"/>
      <c r="AW921" s="436"/>
      <c r="AX921" s="436"/>
      <c r="AY921" s="436"/>
      <c r="AZ921" s="436"/>
      <c r="BA921" s="436"/>
      <c r="BB921" s="436"/>
      <c r="BC921" s="436"/>
      <c r="BD921" s="436"/>
      <c r="BE921" s="436"/>
      <c r="BF921" s="436"/>
      <c r="BG921" s="436"/>
      <c r="BH921" s="436"/>
      <c r="BI921" s="436"/>
      <c r="BJ921" s="436"/>
      <c r="BK921" s="436"/>
      <c r="BL921" s="436"/>
      <c r="BM921" s="436"/>
      <c r="BN921" s="436"/>
      <c r="BO921" s="339"/>
      <c r="BP921" s="436"/>
      <c r="BQ921" s="436"/>
      <c r="BR921" s="436"/>
      <c r="BS921" s="436"/>
      <c r="BT921" s="436"/>
      <c r="BU921" s="436"/>
      <c r="BV921" s="436"/>
      <c r="BW921" s="436"/>
      <c r="BX921" s="1"/>
      <c r="BY921" s="1"/>
      <c r="BZ921" s="1"/>
      <c r="CA921" s="1"/>
      <c r="CB921" s="1"/>
      <c r="CC921" s="1"/>
      <c r="CD921" s="1"/>
      <c r="CE921" s="1"/>
      <c r="CF921" s="1"/>
      <c r="CG921" s="1"/>
    </row>
    <row r="922" spans="1:85" ht="15.75" customHeight="1">
      <c r="A922" s="500"/>
      <c r="B922" s="216"/>
      <c r="C922" s="527"/>
      <c r="D922" s="216"/>
      <c r="E922" s="503"/>
      <c r="F922" s="436"/>
      <c r="G922" s="436"/>
      <c r="H922" s="503"/>
      <c r="I922" s="504"/>
      <c r="J922" s="504"/>
      <c r="K922" s="503"/>
      <c r="L922" s="505"/>
      <c r="M922" s="436"/>
      <c r="N922" s="503"/>
      <c r="O922" s="436"/>
      <c r="P922" s="436"/>
      <c r="Q922" s="436"/>
      <c r="R922" s="436"/>
      <c r="S922" s="436"/>
      <c r="T922" s="436"/>
      <c r="U922" s="503"/>
      <c r="V922" s="503"/>
      <c r="W922" s="503"/>
      <c r="X922" s="506"/>
      <c r="Y922" s="506"/>
      <c r="Z922" s="506"/>
      <c r="AA922" s="436"/>
      <c r="AB922" s="436"/>
      <c r="AC922" s="436"/>
      <c r="AD922" s="436"/>
      <c r="AE922" s="508"/>
      <c r="AF922" s="508"/>
      <c r="AG922" s="508"/>
      <c r="AH922" s="508"/>
      <c r="AI922" s="436"/>
      <c r="AJ922" s="436"/>
      <c r="AK922" s="436"/>
      <c r="AL922" s="436"/>
      <c r="AM922" s="436"/>
      <c r="AN922" s="436"/>
      <c r="AO922" s="436"/>
      <c r="AP922" s="436"/>
      <c r="AQ922" s="436"/>
      <c r="AR922" s="436"/>
      <c r="AS922" s="436"/>
      <c r="AT922" s="436"/>
      <c r="AU922" s="436"/>
      <c r="AV922" s="436"/>
      <c r="AW922" s="436"/>
      <c r="AX922" s="436"/>
      <c r="AY922" s="436"/>
      <c r="AZ922" s="436"/>
      <c r="BA922" s="436"/>
      <c r="BB922" s="436"/>
      <c r="BC922" s="436"/>
      <c r="BD922" s="436"/>
      <c r="BE922" s="436"/>
      <c r="BF922" s="436"/>
      <c r="BG922" s="436"/>
      <c r="BH922" s="436"/>
      <c r="BI922" s="436"/>
      <c r="BJ922" s="436"/>
      <c r="BK922" s="436"/>
      <c r="BL922" s="436"/>
      <c r="BM922" s="436"/>
      <c r="BN922" s="436"/>
      <c r="BO922" s="339"/>
      <c r="BP922" s="436"/>
      <c r="BQ922" s="436"/>
      <c r="BR922" s="436"/>
      <c r="BS922" s="436"/>
      <c r="BT922" s="436"/>
      <c r="BU922" s="436"/>
      <c r="BV922" s="436"/>
      <c r="BW922" s="436"/>
      <c r="BX922" s="1"/>
      <c r="BY922" s="1"/>
      <c r="BZ922" s="1"/>
      <c r="CA922" s="1"/>
      <c r="CB922" s="1"/>
      <c r="CC922" s="1"/>
      <c r="CD922" s="1"/>
      <c r="CE922" s="1"/>
      <c r="CF922" s="1"/>
      <c r="CG922" s="1"/>
    </row>
    <row r="923" spans="1:85" ht="15.75" customHeight="1">
      <c r="A923" s="500"/>
      <c r="B923" s="216"/>
      <c r="C923" s="527"/>
      <c r="D923" s="216"/>
      <c r="E923" s="503"/>
      <c r="F923" s="436"/>
      <c r="G923" s="436"/>
      <c r="H923" s="503"/>
      <c r="I923" s="504"/>
      <c r="J923" s="504"/>
      <c r="K923" s="503"/>
      <c r="L923" s="505"/>
      <c r="M923" s="436"/>
      <c r="N923" s="503"/>
      <c r="O923" s="436"/>
      <c r="P923" s="436"/>
      <c r="Q923" s="436"/>
      <c r="R923" s="436"/>
      <c r="S923" s="436"/>
      <c r="T923" s="436"/>
      <c r="U923" s="503"/>
      <c r="V923" s="503"/>
      <c r="W923" s="503"/>
      <c r="X923" s="506"/>
      <c r="Y923" s="506"/>
      <c r="Z923" s="506"/>
      <c r="AA923" s="436"/>
      <c r="AB923" s="436"/>
      <c r="AC923" s="436"/>
      <c r="AD923" s="436"/>
      <c r="AE923" s="508"/>
      <c r="AF923" s="508"/>
      <c r="AG923" s="508"/>
      <c r="AH923" s="508"/>
      <c r="AI923" s="436"/>
      <c r="AJ923" s="436"/>
      <c r="AK923" s="436"/>
      <c r="AL923" s="436"/>
      <c r="AM923" s="436"/>
      <c r="AN923" s="436"/>
      <c r="AO923" s="436"/>
      <c r="AP923" s="436"/>
      <c r="AQ923" s="436"/>
      <c r="AR923" s="436"/>
      <c r="AS923" s="436"/>
      <c r="AT923" s="436"/>
      <c r="AU923" s="436"/>
      <c r="AV923" s="436"/>
      <c r="AW923" s="436"/>
      <c r="AX923" s="436"/>
      <c r="AY923" s="436"/>
      <c r="AZ923" s="436"/>
      <c r="BA923" s="436"/>
      <c r="BB923" s="436"/>
      <c r="BC923" s="436"/>
      <c r="BD923" s="436"/>
      <c r="BE923" s="436"/>
      <c r="BF923" s="436"/>
      <c r="BG923" s="436"/>
      <c r="BH923" s="436"/>
      <c r="BI923" s="436"/>
      <c r="BJ923" s="436"/>
      <c r="BK923" s="436"/>
      <c r="BL923" s="436"/>
      <c r="BM923" s="436"/>
      <c r="BN923" s="436"/>
      <c r="BO923" s="339"/>
      <c r="BP923" s="436"/>
      <c r="BQ923" s="436"/>
      <c r="BR923" s="436"/>
      <c r="BS923" s="436"/>
      <c r="BT923" s="436"/>
      <c r="BU923" s="436"/>
      <c r="BV923" s="436"/>
      <c r="BW923" s="436"/>
      <c r="BX923" s="1"/>
      <c r="BY923" s="1"/>
      <c r="BZ923" s="1"/>
      <c r="CA923" s="1"/>
      <c r="CB923" s="1"/>
      <c r="CC923" s="1"/>
      <c r="CD923" s="1"/>
      <c r="CE923" s="1"/>
      <c r="CF923" s="1"/>
      <c r="CG923" s="1"/>
    </row>
    <row r="924" spans="1:85" ht="15.75" customHeight="1">
      <c r="A924" s="500"/>
      <c r="B924" s="216"/>
      <c r="C924" s="527"/>
      <c r="D924" s="216"/>
      <c r="E924" s="503"/>
      <c r="F924" s="436"/>
      <c r="G924" s="436"/>
      <c r="H924" s="503"/>
      <c r="I924" s="504"/>
      <c r="J924" s="504"/>
      <c r="K924" s="503"/>
      <c r="L924" s="505"/>
      <c r="M924" s="436"/>
      <c r="N924" s="503"/>
      <c r="O924" s="436"/>
      <c r="P924" s="436"/>
      <c r="Q924" s="436"/>
      <c r="R924" s="436"/>
      <c r="S924" s="436"/>
      <c r="T924" s="436"/>
      <c r="U924" s="503"/>
      <c r="V924" s="503"/>
      <c r="W924" s="503"/>
      <c r="X924" s="506"/>
      <c r="Y924" s="506"/>
      <c r="Z924" s="506"/>
      <c r="AA924" s="436"/>
      <c r="AB924" s="436"/>
      <c r="AC924" s="436"/>
      <c r="AD924" s="436"/>
      <c r="AE924" s="508"/>
      <c r="AF924" s="508"/>
      <c r="AG924" s="508"/>
      <c r="AH924" s="508"/>
      <c r="AI924" s="436"/>
      <c r="AJ924" s="436"/>
      <c r="AK924" s="436"/>
      <c r="AL924" s="436"/>
      <c r="AM924" s="436"/>
      <c r="AN924" s="436"/>
      <c r="AO924" s="436"/>
      <c r="AP924" s="436"/>
      <c r="AQ924" s="436"/>
      <c r="AR924" s="436"/>
      <c r="AS924" s="436"/>
      <c r="AT924" s="436"/>
      <c r="AU924" s="436"/>
      <c r="AV924" s="436"/>
      <c r="AW924" s="436"/>
      <c r="AX924" s="436"/>
      <c r="AY924" s="436"/>
      <c r="AZ924" s="436"/>
      <c r="BA924" s="436"/>
      <c r="BB924" s="436"/>
      <c r="BC924" s="436"/>
      <c r="BD924" s="436"/>
      <c r="BE924" s="436"/>
      <c r="BF924" s="436"/>
      <c r="BG924" s="436"/>
      <c r="BH924" s="436"/>
      <c r="BI924" s="436"/>
      <c r="BJ924" s="436"/>
      <c r="BK924" s="436"/>
      <c r="BL924" s="436"/>
      <c r="BM924" s="436"/>
      <c r="BN924" s="436"/>
      <c r="BO924" s="339"/>
      <c r="BP924" s="436"/>
      <c r="BQ924" s="436"/>
      <c r="BR924" s="436"/>
      <c r="BS924" s="436"/>
      <c r="BT924" s="436"/>
      <c r="BU924" s="436"/>
      <c r="BV924" s="436"/>
      <c r="BW924" s="436"/>
      <c r="BX924" s="1"/>
      <c r="BY924" s="1"/>
      <c r="BZ924" s="1"/>
      <c r="CA924" s="1"/>
      <c r="CB924" s="1"/>
      <c r="CC924" s="1"/>
      <c r="CD924" s="1"/>
      <c r="CE924" s="1"/>
      <c r="CF924" s="1"/>
      <c r="CG924" s="1"/>
    </row>
    <row r="925" spans="1:85" ht="15.75" customHeight="1">
      <c r="A925" s="500"/>
      <c r="B925" s="216"/>
      <c r="C925" s="527"/>
      <c r="D925" s="216"/>
      <c r="E925" s="503"/>
      <c r="F925" s="436"/>
      <c r="G925" s="436"/>
      <c r="H925" s="503"/>
      <c r="I925" s="504"/>
      <c r="J925" s="504"/>
      <c r="K925" s="503"/>
      <c r="L925" s="505"/>
      <c r="M925" s="436"/>
      <c r="N925" s="503"/>
      <c r="O925" s="436"/>
      <c r="P925" s="436"/>
      <c r="Q925" s="436"/>
      <c r="R925" s="436"/>
      <c r="S925" s="436"/>
      <c r="T925" s="436"/>
      <c r="U925" s="503"/>
      <c r="V925" s="503"/>
      <c r="W925" s="503"/>
      <c r="X925" s="506"/>
      <c r="Y925" s="506"/>
      <c r="Z925" s="506"/>
      <c r="AA925" s="436"/>
      <c r="AB925" s="436"/>
      <c r="AC925" s="436"/>
      <c r="AD925" s="436"/>
      <c r="AE925" s="508"/>
      <c r="AF925" s="508"/>
      <c r="AG925" s="508"/>
      <c r="AH925" s="508"/>
      <c r="AI925" s="436"/>
      <c r="AJ925" s="436"/>
      <c r="AK925" s="436"/>
      <c r="AL925" s="436"/>
      <c r="AM925" s="436"/>
      <c r="AN925" s="436"/>
      <c r="AO925" s="436"/>
      <c r="AP925" s="436"/>
      <c r="AQ925" s="436"/>
      <c r="AR925" s="436"/>
      <c r="AS925" s="436"/>
      <c r="AT925" s="436"/>
      <c r="AU925" s="436"/>
      <c r="AV925" s="436"/>
      <c r="AW925" s="436"/>
      <c r="AX925" s="436"/>
      <c r="AY925" s="436"/>
      <c r="AZ925" s="436"/>
      <c r="BA925" s="436"/>
      <c r="BB925" s="436"/>
      <c r="BC925" s="436"/>
      <c r="BD925" s="436"/>
      <c r="BE925" s="436"/>
      <c r="BF925" s="436"/>
      <c r="BG925" s="436"/>
      <c r="BH925" s="436"/>
      <c r="BI925" s="436"/>
      <c r="BJ925" s="436"/>
      <c r="BK925" s="436"/>
      <c r="BL925" s="436"/>
      <c r="BM925" s="436"/>
      <c r="BN925" s="436"/>
      <c r="BO925" s="339"/>
      <c r="BP925" s="436"/>
      <c r="BQ925" s="436"/>
      <c r="BR925" s="436"/>
      <c r="BS925" s="436"/>
      <c r="BT925" s="436"/>
      <c r="BU925" s="436"/>
      <c r="BV925" s="436"/>
      <c r="BW925" s="436"/>
      <c r="BX925" s="1"/>
      <c r="BY925" s="1"/>
      <c r="BZ925" s="1"/>
      <c r="CA925" s="1"/>
      <c r="CB925" s="1"/>
      <c r="CC925" s="1"/>
      <c r="CD925" s="1"/>
      <c r="CE925" s="1"/>
      <c r="CF925" s="1"/>
      <c r="CG925" s="1"/>
    </row>
    <row r="926" spans="1:85" ht="15.75" customHeight="1">
      <c r="A926" s="500"/>
      <c r="B926" s="216"/>
      <c r="C926" s="527"/>
      <c r="D926" s="216"/>
      <c r="E926" s="503"/>
      <c r="F926" s="436"/>
      <c r="G926" s="436"/>
      <c r="H926" s="503"/>
      <c r="I926" s="504"/>
      <c r="J926" s="504"/>
      <c r="K926" s="503"/>
      <c r="L926" s="505"/>
      <c r="M926" s="436"/>
      <c r="N926" s="503"/>
      <c r="O926" s="436"/>
      <c r="P926" s="436"/>
      <c r="Q926" s="436"/>
      <c r="R926" s="436"/>
      <c r="S926" s="436"/>
      <c r="T926" s="436"/>
      <c r="U926" s="503"/>
      <c r="V926" s="503"/>
      <c r="W926" s="503"/>
      <c r="X926" s="506"/>
      <c r="Y926" s="506"/>
      <c r="Z926" s="506"/>
      <c r="AA926" s="436"/>
      <c r="AB926" s="436"/>
      <c r="AC926" s="436"/>
      <c r="AD926" s="436"/>
      <c r="AE926" s="508"/>
      <c r="AF926" s="508"/>
      <c r="AG926" s="508"/>
      <c r="AH926" s="508"/>
      <c r="AI926" s="436"/>
      <c r="AJ926" s="436"/>
      <c r="AK926" s="436"/>
      <c r="AL926" s="436"/>
      <c r="AM926" s="436"/>
      <c r="AN926" s="436"/>
      <c r="AO926" s="436"/>
      <c r="AP926" s="436"/>
      <c r="AQ926" s="436"/>
      <c r="AR926" s="436"/>
      <c r="AS926" s="436"/>
      <c r="AT926" s="436"/>
      <c r="AU926" s="436"/>
      <c r="AV926" s="436"/>
      <c r="AW926" s="436"/>
      <c r="AX926" s="436"/>
      <c r="AY926" s="436"/>
      <c r="AZ926" s="436"/>
      <c r="BA926" s="436"/>
      <c r="BB926" s="436"/>
      <c r="BC926" s="436"/>
      <c r="BD926" s="436"/>
      <c r="BE926" s="436"/>
      <c r="BF926" s="436"/>
      <c r="BG926" s="436"/>
      <c r="BH926" s="436"/>
      <c r="BI926" s="436"/>
      <c r="BJ926" s="436"/>
      <c r="BK926" s="436"/>
      <c r="BL926" s="436"/>
      <c r="BM926" s="436"/>
      <c r="BN926" s="436"/>
      <c r="BO926" s="339"/>
      <c r="BP926" s="436"/>
      <c r="BQ926" s="436"/>
      <c r="BR926" s="436"/>
      <c r="BS926" s="436"/>
      <c r="BT926" s="436"/>
      <c r="BU926" s="436"/>
      <c r="BV926" s="436"/>
      <c r="BW926" s="436"/>
      <c r="BX926" s="1"/>
      <c r="BY926" s="1"/>
      <c r="BZ926" s="1"/>
      <c r="CA926" s="1"/>
      <c r="CB926" s="1"/>
      <c r="CC926" s="1"/>
      <c r="CD926" s="1"/>
      <c r="CE926" s="1"/>
      <c r="CF926" s="1"/>
      <c r="CG926" s="1"/>
    </row>
    <row r="927" spans="1:85" ht="15.75" customHeight="1">
      <c r="A927" s="500"/>
      <c r="B927" s="216"/>
      <c r="C927" s="527"/>
      <c r="D927" s="216"/>
      <c r="E927" s="503"/>
      <c r="F927" s="436"/>
      <c r="G927" s="436"/>
      <c r="H927" s="503"/>
      <c r="I927" s="504"/>
      <c r="J927" s="504"/>
      <c r="K927" s="503"/>
      <c r="L927" s="505"/>
      <c r="M927" s="436"/>
      <c r="N927" s="503"/>
      <c r="O927" s="436"/>
      <c r="P927" s="436"/>
      <c r="Q927" s="436"/>
      <c r="R927" s="436"/>
      <c r="S927" s="436"/>
      <c r="T927" s="436"/>
      <c r="U927" s="503"/>
      <c r="V927" s="503"/>
      <c r="W927" s="503"/>
      <c r="X927" s="506"/>
      <c r="Y927" s="506"/>
      <c r="Z927" s="506"/>
      <c r="AA927" s="436"/>
      <c r="AB927" s="436"/>
      <c r="AC927" s="436"/>
      <c r="AD927" s="436"/>
      <c r="AE927" s="508"/>
      <c r="AF927" s="508"/>
      <c r="AG927" s="508"/>
      <c r="AH927" s="508"/>
      <c r="AI927" s="436"/>
      <c r="AJ927" s="436"/>
      <c r="AK927" s="436"/>
      <c r="AL927" s="436"/>
      <c r="AM927" s="436"/>
      <c r="AN927" s="436"/>
      <c r="AO927" s="436"/>
      <c r="AP927" s="436"/>
      <c r="AQ927" s="436"/>
      <c r="AR927" s="436"/>
      <c r="AS927" s="436"/>
      <c r="AT927" s="436"/>
      <c r="AU927" s="436"/>
      <c r="AV927" s="436"/>
      <c r="AW927" s="436"/>
      <c r="AX927" s="436"/>
      <c r="AY927" s="436"/>
      <c r="AZ927" s="436"/>
      <c r="BA927" s="436"/>
      <c r="BB927" s="436"/>
      <c r="BC927" s="436"/>
      <c r="BD927" s="436"/>
      <c r="BE927" s="436"/>
      <c r="BF927" s="436"/>
      <c r="BG927" s="436"/>
      <c r="BH927" s="436"/>
      <c r="BI927" s="436"/>
      <c r="BJ927" s="436"/>
      <c r="BK927" s="436"/>
      <c r="BL927" s="436"/>
      <c r="BM927" s="436"/>
      <c r="BN927" s="436"/>
      <c r="BO927" s="339"/>
      <c r="BP927" s="436"/>
      <c r="BQ927" s="436"/>
      <c r="BR927" s="436"/>
      <c r="BS927" s="436"/>
      <c r="BT927" s="436"/>
      <c r="BU927" s="436"/>
      <c r="BV927" s="436"/>
      <c r="BW927" s="436"/>
      <c r="BX927" s="1"/>
      <c r="BY927" s="1"/>
      <c r="BZ927" s="1"/>
      <c r="CA927" s="1"/>
      <c r="CB927" s="1"/>
      <c r="CC927" s="1"/>
      <c r="CD927" s="1"/>
      <c r="CE927" s="1"/>
      <c r="CF927" s="1"/>
      <c r="CG927" s="1"/>
    </row>
    <row r="928" spans="1:85" ht="15.75" customHeight="1">
      <c r="A928" s="500"/>
      <c r="B928" s="216"/>
      <c r="C928" s="527"/>
      <c r="D928" s="216"/>
      <c r="E928" s="503"/>
      <c r="F928" s="436"/>
      <c r="G928" s="436"/>
      <c r="H928" s="503"/>
      <c r="I928" s="504"/>
      <c r="J928" s="504"/>
      <c r="K928" s="503"/>
      <c r="L928" s="505"/>
      <c r="M928" s="436"/>
      <c r="N928" s="503"/>
      <c r="O928" s="436"/>
      <c r="P928" s="436"/>
      <c r="Q928" s="436"/>
      <c r="R928" s="436"/>
      <c r="S928" s="436"/>
      <c r="T928" s="436"/>
      <c r="U928" s="503"/>
      <c r="V928" s="503"/>
      <c r="W928" s="503"/>
      <c r="X928" s="506"/>
      <c r="Y928" s="506"/>
      <c r="Z928" s="506"/>
      <c r="AA928" s="436"/>
      <c r="AB928" s="436"/>
      <c r="AC928" s="436"/>
      <c r="AD928" s="436"/>
      <c r="AE928" s="508"/>
      <c r="AF928" s="508"/>
      <c r="AG928" s="508"/>
      <c r="AH928" s="508"/>
      <c r="AI928" s="436"/>
      <c r="AJ928" s="436"/>
      <c r="AK928" s="436"/>
      <c r="AL928" s="436"/>
      <c r="AM928" s="436"/>
      <c r="AN928" s="436"/>
      <c r="AO928" s="436"/>
      <c r="AP928" s="436"/>
      <c r="AQ928" s="436"/>
      <c r="AR928" s="436"/>
      <c r="AS928" s="436"/>
      <c r="AT928" s="436"/>
      <c r="AU928" s="436"/>
      <c r="AV928" s="436"/>
      <c r="AW928" s="436"/>
      <c r="AX928" s="436"/>
      <c r="AY928" s="436"/>
      <c r="AZ928" s="436"/>
      <c r="BA928" s="436"/>
      <c r="BB928" s="436"/>
      <c r="BC928" s="436"/>
      <c r="BD928" s="436"/>
      <c r="BE928" s="436"/>
      <c r="BF928" s="436"/>
      <c r="BG928" s="436"/>
      <c r="BH928" s="436"/>
      <c r="BI928" s="436"/>
      <c r="BJ928" s="436"/>
      <c r="BK928" s="436"/>
      <c r="BL928" s="436"/>
      <c r="BM928" s="436"/>
      <c r="BN928" s="436"/>
      <c r="BO928" s="339"/>
      <c r="BP928" s="436"/>
      <c r="BQ928" s="436"/>
      <c r="BR928" s="436"/>
      <c r="BS928" s="436"/>
      <c r="BT928" s="436"/>
      <c r="BU928" s="436"/>
      <c r="BV928" s="436"/>
      <c r="BW928" s="436"/>
      <c r="BX928" s="1"/>
      <c r="BY928" s="1"/>
      <c r="BZ928" s="1"/>
      <c r="CA928" s="1"/>
      <c r="CB928" s="1"/>
      <c r="CC928" s="1"/>
      <c r="CD928" s="1"/>
      <c r="CE928" s="1"/>
      <c r="CF928" s="1"/>
      <c r="CG928" s="1"/>
    </row>
    <row r="929" spans="1:85" ht="15.75" customHeight="1">
      <c r="A929" s="500"/>
      <c r="B929" s="216"/>
      <c r="C929" s="527"/>
      <c r="D929" s="216"/>
      <c r="E929" s="503"/>
      <c r="F929" s="436"/>
      <c r="G929" s="436"/>
      <c r="H929" s="503"/>
      <c r="I929" s="504"/>
      <c r="J929" s="504"/>
      <c r="K929" s="503"/>
      <c r="L929" s="505"/>
      <c r="M929" s="436"/>
      <c r="N929" s="503"/>
      <c r="O929" s="436"/>
      <c r="P929" s="436"/>
      <c r="Q929" s="436"/>
      <c r="R929" s="436"/>
      <c r="S929" s="436"/>
      <c r="T929" s="436"/>
      <c r="U929" s="503"/>
      <c r="V929" s="503"/>
      <c r="W929" s="503"/>
      <c r="X929" s="506"/>
      <c r="Y929" s="506"/>
      <c r="Z929" s="506"/>
      <c r="AA929" s="436"/>
      <c r="AB929" s="436"/>
      <c r="AC929" s="436"/>
      <c r="AD929" s="436"/>
      <c r="AE929" s="508"/>
      <c r="AF929" s="508"/>
      <c r="AG929" s="508"/>
      <c r="AH929" s="508"/>
      <c r="AI929" s="436"/>
      <c r="AJ929" s="436"/>
      <c r="AK929" s="436"/>
      <c r="AL929" s="436"/>
      <c r="AM929" s="436"/>
      <c r="AN929" s="436"/>
      <c r="AO929" s="436"/>
      <c r="AP929" s="436"/>
      <c r="AQ929" s="436"/>
      <c r="AR929" s="436"/>
      <c r="AS929" s="436"/>
      <c r="AT929" s="436"/>
      <c r="AU929" s="436"/>
      <c r="AV929" s="436"/>
      <c r="AW929" s="436"/>
      <c r="AX929" s="436"/>
      <c r="AY929" s="436"/>
      <c r="AZ929" s="436"/>
      <c r="BA929" s="436"/>
      <c r="BB929" s="436"/>
      <c r="BC929" s="436"/>
      <c r="BD929" s="436"/>
      <c r="BE929" s="436"/>
      <c r="BF929" s="436"/>
      <c r="BG929" s="436"/>
      <c r="BH929" s="436"/>
      <c r="BI929" s="436"/>
      <c r="BJ929" s="436"/>
      <c r="BK929" s="436"/>
      <c r="BL929" s="436"/>
      <c r="BM929" s="436"/>
      <c r="BN929" s="436"/>
      <c r="BO929" s="339"/>
      <c r="BP929" s="436"/>
      <c r="BQ929" s="436"/>
      <c r="BR929" s="436"/>
      <c r="BS929" s="436"/>
      <c r="BT929" s="436"/>
      <c r="BU929" s="436"/>
      <c r="BV929" s="436"/>
      <c r="BW929" s="436"/>
      <c r="BX929" s="1"/>
      <c r="BY929" s="1"/>
      <c r="BZ929" s="1"/>
      <c r="CA929" s="1"/>
      <c r="CB929" s="1"/>
      <c r="CC929" s="1"/>
      <c r="CD929" s="1"/>
      <c r="CE929" s="1"/>
      <c r="CF929" s="1"/>
      <c r="CG929" s="1"/>
    </row>
    <row r="930" spans="1:85" ht="15.75" customHeight="1">
      <c r="A930" s="500"/>
      <c r="B930" s="216"/>
      <c r="C930" s="527"/>
      <c r="D930" s="216"/>
      <c r="E930" s="503"/>
      <c r="F930" s="436"/>
      <c r="G930" s="436"/>
      <c r="H930" s="503"/>
      <c r="I930" s="504"/>
      <c r="J930" s="504"/>
      <c r="K930" s="503"/>
      <c r="L930" s="505"/>
      <c r="M930" s="436"/>
      <c r="N930" s="503"/>
      <c r="O930" s="436"/>
      <c r="P930" s="436"/>
      <c r="Q930" s="436"/>
      <c r="R930" s="436"/>
      <c r="S930" s="436"/>
      <c r="T930" s="436"/>
      <c r="U930" s="503"/>
      <c r="V930" s="503"/>
      <c r="W930" s="503"/>
      <c r="X930" s="506"/>
      <c r="Y930" s="506"/>
      <c r="Z930" s="506"/>
      <c r="AA930" s="436"/>
      <c r="AB930" s="436"/>
      <c r="AC930" s="436"/>
      <c r="AD930" s="436"/>
      <c r="AE930" s="508"/>
      <c r="AF930" s="508"/>
      <c r="AG930" s="508"/>
      <c r="AH930" s="508"/>
      <c r="AI930" s="436"/>
      <c r="AJ930" s="436"/>
      <c r="AK930" s="436"/>
      <c r="AL930" s="436"/>
      <c r="AM930" s="436"/>
      <c r="AN930" s="436"/>
      <c r="AO930" s="436"/>
      <c r="AP930" s="436"/>
      <c r="AQ930" s="436"/>
      <c r="AR930" s="436"/>
      <c r="AS930" s="436"/>
      <c r="AT930" s="436"/>
      <c r="AU930" s="436"/>
      <c r="AV930" s="436"/>
      <c r="AW930" s="436"/>
      <c r="AX930" s="436"/>
      <c r="AY930" s="436"/>
      <c r="AZ930" s="436"/>
      <c r="BA930" s="436"/>
      <c r="BB930" s="436"/>
      <c r="BC930" s="436"/>
      <c r="BD930" s="436"/>
      <c r="BE930" s="436"/>
      <c r="BF930" s="436"/>
      <c r="BG930" s="436"/>
      <c r="BH930" s="436"/>
      <c r="BI930" s="436"/>
      <c r="BJ930" s="436"/>
      <c r="BK930" s="436"/>
      <c r="BL930" s="436"/>
      <c r="BM930" s="436"/>
      <c r="BN930" s="436"/>
      <c r="BO930" s="339"/>
      <c r="BP930" s="436"/>
      <c r="BQ930" s="436"/>
      <c r="BR930" s="436"/>
      <c r="BS930" s="436"/>
      <c r="BT930" s="436"/>
      <c r="BU930" s="436"/>
      <c r="BV930" s="436"/>
      <c r="BW930" s="436"/>
      <c r="BX930" s="1"/>
      <c r="BY930" s="1"/>
      <c r="BZ930" s="1"/>
      <c r="CA930" s="1"/>
      <c r="CB930" s="1"/>
      <c r="CC930" s="1"/>
      <c r="CD930" s="1"/>
      <c r="CE930" s="1"/>
      <c r="CF930" s="1"/>
      <c r="CG930" s="1"/>
    </row>
  </sheetData>
  <sheetProtection sheet="1" objects="1" scenarios="1" selectLockedCells="1" selectUnlockedCells="1"/>
  <customSheetViews>
    <customSheetView guid="{A38A639B-EE15-4884-9EDC-76F64D0A3F8A}" filter="1" showAutoFilter="1">
      <pageMargins left="0.511811024" right="0.511811024" top="0.78740157499999996" bottom="0.78740157499999996" header="0.31496062000000002" footer="0.31496062000000002"/>
      <autoFilter ref="C1:C930"/>
      <extLst>
        <ext uri="GoogleSheetsCustomDataVersion1">
          <go:sheetsCustomData xmlns:go="http://customooxmlschemas.google.com/" filterViewId="261753600"/>
        </ext>
      </extLst>
    </customSheetView>
  </customSheetViews>
  <mergeCells count="57">
    <mergeCell ref="AH730:AJ730"/>
    <mergeCell ref="AL730:AN730"/>
    <mergeCell ref="AA731:AF731"/>
    <mergeCell ref="K726:L726"/>
    <mergeCell ref="AA726:AB726"/>
    <mergeCell ref="K727:L727"/>
    <mergeCell ref="AA727:AB727"/>
    <mergeCell ref="K728:L728"/>
    <mergeCell ref="AA728:AB728"/>
    <mergeCell ref="AA729:AB729"/>
    <mergeCell ref="AA730:AB730"/>
    <mergeCell ref="AD730:AF730"/>
    <mergeCell ref="AM1:AO1"/>
    <mergeCell ref="AP1:AR1"/>
    <mergeCell ref="AS1:AU1"/>
    <mergeCell ref="AV1:AX1"/>
    <mergeCell ref="BT1:BT2"/>
    <mergeCell ref="BU1:BU2"/>
    <mergeCell ref="BV1:BV2"/>
    <mergeCell ref="BW1:BW2"/>
    <mergeCell ref="AY1:BA1"/>
    <mergeCell ref="BB1:BD1"/>
    <mergeCell ref="BE1:BG1"/>
    <mergeCell ref="BH1:BJ1"/>
    <mergeCell ref="BK1:BM1"/>
    <mergeCell ref="BN1:BP1"/>
    <mergeCell ref="BQ1:BS1"/>
    <mergeCell ref="A2:B2"/>
    <mergeCell ref="E1:J1"/>
    <mergeCell ref="I716:J716"/>
    <mergeCell ref="AA716:AF716"/>
    <mergeCell ref="AG716:AL716"/>
    <mergeCell ref="AD1:AF1"/>
    <mergeCell ref="AG1:AI1"/>
    <mergeCell ref="AJ1:AL1"/>
    <mergeCell ref="K1:N1"/>
    <mergeCell ref="O1:Q1"/>
    <mergeCell ref="R1:T1"/>
    <mergeCell ref="U1:W1"/>
    <mergeCell ref="X1:Z1"/>
    <mergeCell ref="AA1:AC1"/>
    <mergeCell ref="K725:L725"/>
    <mergeCell ref="AA725:AB725"/>
    <mergeCell ref="AM716:AR716"/>
    <mergeCell ref="AS716:AX716"/>
    <mergeCell ref="AY716:BD716"/>
    <mergeCell ref="AA723:AB723"/>
    <mergeCell ref="AD723:AF723"/>
    <mergeCell ref="K723:L723"/>
    <mergeCell ref="K724:L724"/>
    <mergeCell ref="K722:N722"/>
    <mergeCell ref="O722:P722"/>
    <mergeCell ref="AD722:AG722"/>
    <mergeCell ref="AH722:AK722"/>
    <mergeCell ref="AL722:AO722"/>
    <mergeCell ref="AA722:AC722"/>
    <mergeCell ref="AA724:AB724"/>
  </mergeCells>
  <conditionalFormatting sqref="I3:J191 X3:Z191 I193:J193 X193:Z193 I195:J312 X196:Z312 I314:J409 X314:Z409 I411:J462 X411:Z462 I465:J465 X465:Z465 I467:J467 X467:Z467 I469:J469 X469:Z469 I471:J472 X471:Z472 I475:J475 X475:Z475 I477:J477 X477:Z477 I479:J479 X479:Z479 I481:J715 X481:Z715 X734:Z743 I735:J743 I745:J747 X745:Z747">
    <cfRule type="cellIs" dxfId="79" priority="1" operator="between">
      <formula>"0%"</formula>
      <formula>"25%"</formula>
    </cfRule>
  </conditionalFormatting>
  <conditionalFormatting sqref="I3:J191 X3:Z191 I193:J193 X193:Z193 I195:J312 X196:Z312 I314:J409 X314:Z409 I411:J462 X411:Z462 I465:J465 X465:Z465 I467:J467 X467:Z467 I469:J469 X469:Z469 I471:J472 X471:Z472 I475:J475 X475:Z475 I477:J477 X477:Z477 I479:J479 X479:Z479 I481:J715 X481:Z715 X734:Z743 I735:J743 I745:J747 X745:Z747">
    <cfRule type="cellIs" dxfId="78" priority="2" operator="between">
      <formula>"25.01%"</formula>
      <formula>"50%"</formula>
    </cfRule>
  </conditionalFormatting>
  <conditionalFormatting sqref="I3:J191 X3:Z191 I193:J193 X193:Z193 I195:J312 X196:Z312 I314:J409 X314:Z409 I411:J462 X411:Z462 I465:J465 X465:Z465 I467:J467 X467:Z467 I469:J469 X469:Z469 I471:J472 X471:Z472 I475:J475 X475:Z475 I477:J477 X477:Z477 I479:J479 X479:Z479 I481:J715 X481:Z715 X734:Z743 I735:J743 I745:J747 X745:Z747">
    <cfRule type="cellIs" dxfId="77" priority="3" operator="between">
      <formula>"50.01%"</formula>
      <formula>"75%"</formula>
    </cfRule>
  </conditionalFormatting>
  <conditionalFormatting sqref="I3:J191 X3:Z191 I193:J193 X193:Z193 I195:J312 X196:Z312 I314:J409 X314:Z409 I411:J462 X411:Z462 I465:J465 X465:Z465 I467:J467 X467:Z467 I469:J469 X469:Z469 I471:J472 X471:Z472 I475:J475 X475:Z475 I477:J477 X477:Z477 I479:J479 X479:Z479 I481:J715 X481:Z715 X734:Z743 I735:J743 I745:J747 X745:Z747">
    <cfRule type="cellIs" dxfId="76" priority="4" operator="between">
      <formula>"75.01%"</formula>
      <formula>"99.99%"</formula>
    </cfRule>
  </conditionalFormatting>
  <conditionalFormatting sqref="I3:J191 X3:Z191 I193:J193 X193:Z193 I195:J312 X196:Z312 I314:J409 X314:Z409 I411:J462 X411:Z462 I465:J465 X465:Z465 I467:J467 X467:Z467 I469:J469 X469:Z469 I471:J472 X471:Z472 I475:J475 X475:Z475 I477:J477 X477:Z477 I479:J479 X479:Z479 I481:J715 X481:Z715 X734:Z743 I735:J743 I745:J747 X745:Z747">
    <cfRule type="cellIs" dxfId="75" priority="5" operator="greaterThanOrEqual">
      <formula>"100%"</formula>
    </cfRule>
  </conditionalFormatting>
  <conditionalFormatting sqref="I471:J471">
    <cfRule type="cellIs" dxfId="74" priority="6" operator="between">
      <formula>"0%"</formula>
      <formula>"25%"</formula>
    </cfRule>
  </conditionalFormatting>
  <conditionalFormatting sqref="I471:J471">
    <cfRule type="cellIs" dxfId="73" priority="7" operator="between">
      <formula>"25.01%"</formula>
      <formula>"50%"</formula>
    </cfRule>
  </conditionalFormatting>
  <conditionalFormatting sqref="I471:J471">
    <cfRule type="cellIs" dxfId="72" priority="8" operator="between">
      <formula>"50.01%"</formula>
      <formula>"75%"</formula>
    </cfRule>
  </conditionalFormatting>
  <conditionalFormatting sqref="I471:J471">
    <cfRule type="cellIs" dxfId="71" priority="9" operator="between">
      <formula>"75.01%"</formula>
      <formula>"99.99%"</formula>
    </cfRule>
  </conditionalFormatting>
  <conditionalFormatting sqref="I471:J471">
    <cfRule type="cellIs" dxfId="70" priority="10" operator="greaterThanOrEqual">
      <formula>"100%"</formula>
    </cfRule>
  </conditionalFormatting>
  <conditionalFormatting sqref="X312:Z314 X323:Z323 X325:Z325 X334:Z334 X336:Z336 X345:Z345 X350:Z350 X356:Z356 X369:Z369 X372:Z372 X402:Z402 X459:Z459 X469:Z469 X479:Z479 X482:Z482 X484:Z484 X493:Z493 X502:Z502 X524:Z524 X579:Z579">
    <cfRule type="cellIs" dxfId="69" priority="11" operator="between">
      <formula>"0%"</formula>
      <formula>"25%"</formula>
    </cfRule>
  </conditionalFormatting>
  <conditionalFormatting sqref="X312:Z314 X323:Z323 X325:Z325 X334:Z334 X336:Z336 X345:Z345 X350:Z350 X356:Z356 X369:Z369 X372:Z372 X402:Z402 X459:Z459 X469:Z469 X479:Z479 X482:Z482 X484:Z484 X493:Z493 X502:Z502 X524:Z524 X579:Z579">
    <cfRule type="cellIs" dxfId="68" priority="12" operator="between">
      <formula>"25.01%"</formula>
      <formula>"50%"</formula>
    </cfRule>
  </conditionalFormatting>
  <conditionalFormatting sqref="X312:Z314 X323:Z323 X325:Z325 X334:Z334 X336:Z336 X345:Z345 X350:Z350 X356:Z356 X369:Z369 X372:Z372 X402:Z402 X459:Z459 X469:Z469 X479:Z479 X482:Z482 X484:Z484 X493:Z493 X502:Z502 X524:Z524 X579:Z579">
    <cfRule type="cellIs" dxfId="67" priority="13" operator="between">
      <formula>"50.01%"</formula>
      <formula>"75%"</formula>
    </cfRule>
  </conditionalFormatting>
  <conditionalFormatting sqref="X312:Z314 X323:Z323 X325:Z325 X334:Z334 X336:Z336 X345:Z345 X350:Z350 X356:Z356 X369:Z369 X372:Z372 X402:Z402 X459:Z459 X469:Z469 X479:Z479 X482:Z482 X484:Z484 X493:Z493 X502:Z502 X524:Z524 X579:Z579">
    <cfRule type="cellIs" dxfId="66" priority="14" operator="between">
      <formula>"75.01%"</formula>
      <formula>"99.99%"</formula>
    </cfRule>
  </conditionalFormatting>
  <conditionalFormatting sqref="X312:Z314 X323:Z323 X325:Z325 X334:Z334 X336:Z336 X345:Z345 X350:Z350 X356:Z356 X369:Z369 X372:Z372 X402:Z402 X459:Z459 X469:Z469 X479:Z479 X482:Z482 X484:Z484 X493:Z493 X502:Z502 X524:Z524 X579:Z579">
    <cfRule type="cellIs" dxfId="65" priority="15" operator="greaterThanOrEqual">
      <formula>"100%"</formula>
    </cfRule>
  </conditionalFormatting>
  <conditionalFormatting sqref="I312:J314 I323:J323 I325:J325 I334:J334 I336:J336 I345:J345 I350:J350 I356:J356 I369:J369 I372:J372 I402:J402 I459:J459 I469:J469 I479:J479 I482:J482 I484:J484 I493:J493 I502:J502 I524:J524 I579:J579">
    <cfRule type="cellIs" dxfId="64" priority="16" operator="between">
      <formula>"0%"</formula>
      <formula>"25%"</formula>
    </cfRule>
  </conditionalFormatting>
  <conditionalFormatting sqref="I312:J314 I323:J323 I325:J325 I334:J334 I336:J336 I345:J345 I350:J350 I356:J356 I369:J369 I372:J372 I402:J402 I459:J459 I469:J469 I479:J479 I482:J482 I484:J484 I493:J493 I502:J502 I524:J524 I579:J579">
    <cfRule type="cellIs" dxfId="63" priority="17" operator="between">
      <formula>"25.01%"</formula>
      <formula>"50%"</formula>
    </cfRule>
  </conditionalFormatting>
  <conditionalFormatting sqref="I312:J314 I323:J323 I325:J325 I334:J334 I336:J336 I345:J345 I350:J350 I356:J356 I369:J369 I372:J372 I402:J402 I459:J459 I469:J469 I479:J479 I482:J482 I484:J484 I493:J493 I502:J502 I524:J524 I579:J579">
    <cfRule type="cellIs" dxfId="62" priority="18" operator="between">
      <formula>"50.01%"</formula>
      <formula>"75%"</formula>
    </cfRule>
  </conditionalFormatting>
  <conditionalFormatting sqref="I312:J314 I323:J323 I325:J325 I334:J334 I336:J336 I345:J345 I350:J350 I356:J356 I369:J369 I372:J372 I402:J402 I459:J459 I469:J469 I479:J479 I482:J482 I484:J484 I493:J493 I502:J502 I524:J524 I579:J579">
    <cfRule type="cellIs" dxfId="61" priority="19" operator="between">
      <formula>"75.01%"</formula>
      <formula>"99.99%"</formula>
    </cfRule>
  </conditionalFormatting>
  <conditionalFormatting sqref="I312:J314 I323:J323 I325:J325 I334:J334 I336:J336 I345:J345 I350:J350 I356:J356 I369:J369 I372:J372 I402:J402 I459:J459 I469:J469 I479:J479 I482:J482 I484:J484 I493:J493 I502:J502 I524:J524 I579:J579">
    <cfRule type="cellIs" dxfId="60" priority="20" operator="greaterThanOrEqual">
      <formula>"100%"</formula>
    </cfRule>
  </conditionalFormatting>
  <conditionalFormatting sqref="I455:J455 I462:J470 I475:J475">
    <cfRule type="cellIs" dxfId="59" priority="21" operator="between">
      <formula>"0%"</formula>
      <formula>"25%"</formula>
    </cfRule>
  </conditionalFormatting>
  <conditionalFormatting sqref="I455:J455 I462:J470 I475:J475">
    <cfRule type="cellIs" dxfId="58" priority="22" operator="between">
      <formula>"25.01%"</formula>
      <formula>"50%"</formula>
    </cfRule>
  </conditionalFormatting>
  <conditionalFormatting sqref="I455:J455 I462:J470 I475:J475">
    <cfRule type="cellIs" dxfId="57" priority="23" operator="between">
      <formula>"50.01%"</formula>
      <formula>"75%"</formula>
    </cfRule>
  </conditionalFormatting>
  <conditionalFormatting sqref="I455:J455 I462:J470 I475:J475">
    <cfRule type="cellIs" dxfId="56" priority="24" operator="between">
      <formula>"75.01%"</formula>
      <formula>"99.99%"</formula>
    </cfRule>
  </conditionalFormatting>
  <conditionalFormatting sqref="I455:J455 I462:J470 I475:J475">
    <cfRule type="cellIs" dxfId="55" priority="25" operator="greaterThanOrEqual">
      <formula>"100%"</formula>
    </cfRule>
  </conditionalFormatting>
  <conditionalFormatting sqref="I472:J480 I515:J515 I522:J522 I524:J524 I527:J527 I533:J533 I541:J541">
    <cfRule type="cellIs" dxfId="54" priority="26" operator="between">
      <formula>"0%"</formula>
      <formula>"25%"</formula>
    </cfRule>
  </conditionalFormatting>
  <conditionalFormatting sqref="I472:J480 I515:J515 I522:J522 I524:J524 I527:J527 I533:J533 I541:J541">
    <cfRule type="cellIs" dxfId="53" priority="27" operator="between">
      <formula>"25.01%"</formula>
      <formula>"50%"</formula>
    </cfRule>
  </conditionalFormatting>
  <conditionalFormatting sqref="I472:J480 I515:J515 I522:J522 I524:J524 I527:J527 I533:J533 I541:J541">
    <cfRule type="cellIs" dxfId="52" priority="28" operator="between">
      <formula>"50.01%"</formula>
      <formula>"75%"</formula>
    </cfRule>
  </conditionalFormatting>
  <conditionalFormatting sqref="I472:J480 I515:J515 I522:J522 I524:J524 I527:J527 I533:J533 I541:J541">
    <cfRule type="cellIs" dxfId="51" priority="29" operator="between">
      <formula>"75.01%"</formula>
      <formula>"99.99%"</formula>
    </cfRule>
  </conditionalFormatting>
  <conditionalFormatting sqref="I472:J480 I515:J515 I522:J522 I524:J524 I527:J527 I533:J533 I541:J541">
    <cfRule type="cellIs" dxfId="50" priority="30" operator="greaterThanOrEqual">
      <formula>"100%"</formula>
    </cfRule>
  </conditionalFormatting>
  <conditionalFormatting sqref="I150:J150 I217:J245 I247:J258 I268:J272 I290:J290 I352:J352 I354:J355 I374:J374 I425:J425 I505:J507 I509:J510 I577:J577 I581:J581 I662:J662 I689:J689">
    <cfRule type="cellIs" dxfId="49" priority="31" operator="between">
      <formula>"0%"</formula>
      <formula>"25%"</formula>
    </cfRule>
  </conditionalFormatting>
  <conditionalFormatting sqref="I150:J150 I217:J245 I247:J258 I268:J272 I290:J290 I352:J352 I354:J355 I374:J374 I425:J425 I505:J507 I509:J510 I577:J577 I581:J581 I662:J662 I689:J689">
    <cfRule type="cellIs" dxfId="48" priority="32" operator="between">
      <formula>"25.01%"</formula>
      <formula>"50%"</formula>
    </cfRule>
  </conditionalFormatting>
  <conditionalFormatting sqref="I150:J150 I217:J245 I247:J258 I268:J272 I290:J290 I352:J352 I354:J355 I374:J374 I425:J425 I505:J507 I509:J510 I577:J577 I581:J581 I662:J662 I689:J689">
    <cfRule type="cellIs" dxfId="47" priority="33" operator="between">
      <formula>"50.01%"</formula>
      <formula>"75%"</formula>
    </cfRule>
  </conditionalFormatting>
  <conditionalFormatting sqref="I150:J150 I217:J245 I247:J258 I268:J272 I290:J290 I352:J352 I354:J355 I374:J374 I425:J425 I505:J507 I509:J510 I577:J577 I581:J581 I662:J662 I689:J689">
    <cfRule type="cellIs" dxfId="46" priority="34" operator="between">
      <formula>"75.01%"</formula>
      <formula>"99.99%"</formula>
    </cfRule>
  </conditionalFormatting>
  <conditionalFormatting sqref="I150:J150 I217:J245 I247:J258 I268:J272 I290:J290 I352:J352 I354:J355 I374:J374 I425:J425 I505:J507 I509:J510 I577:J577 I581:J581 I662:J662 I689:J689">
    <cfRule type="cellIs" dxfId="45" priority="35" operator="greaterThanOrEqual">
      <formula>"100%"</formula>
    </cfRule>
  </conditionalFormatting>
  <conditionalFormatting sqref="I192:J192">
    <cfRule type="cellIs" dxfId="44" priority="36" operator="between">
      <formula>"0%"</formula>
      <formula>"25%"</formula>
    </cfRule>
  </conditionalFormatting>
  <conditionalFormatting sqref="I192:J192">
    <cfRule type="cellIs" dxfId="43" priority="37" operator="between">
      <formula>"25.01%"</formula>
      <formula>"50%"</formula>
    </cfRule>
  </conditionalFormatting>
  <conditionalFormatting sqref="I192:J192">
    <cfRule type="cellIs" dxfId="42" priority="38" operator="between">
      <formula>"50.01%"</formula>
      <formula>"75%"</formula>
    </cfRule>
  </conditionalFormatting>
  <conditionalFormatting sqref="I192:J192">
    <cfRule type="cellIs" dxfId="41" priority="39" operator="between">
      <formula>"75.01%"</formula>
      <formula>"99.99%"</formula>
    </cfRule>
  </conditionalFormatting>
  <conditionalFormatting sqref="I192:J192">
    <cfRule type="cellIs" dxfId="40" priority="40" operator="greaterThanOrEqual">
      <formula>"100%"</formula>
    </cfRule>
  </conditionalFormatting>
  <conditionalFormatting sqref="I194:J194">
    <cfRule type="cellIs" dxfId="39" priority="41" operator="between">
      <formula>"0%"</formula>
      <formula>"25%"</formula>
    </cfRule>
  </conditionalFormatting>
  <conditionalFormatting sqref="I194:J194">
    <cfRule type="cellIs" dxfId="38" priority="42" operator="between">
      <formula>"25.01%"</formula>
      <formula>"50%"</formula>
    </cfRule>
  </conditionalFormatting>
  <conditionalFormatting sqref="I194:J194">
    <cfRule type="cellIs" dxfId="37" priority="43" operator="between">
      <formula>"50.01%"</formula>
      <formula>"75%"</formula>
    </cfRule>
  </conditionalFormatting>
  <conditionalFormatting sqref="I194:J194">
    <cfRule type="cellIs" dxfId="36" priority="44" operator="between">
      <formula>"75.01%"</formula>
      <formula>"99.99%"</formula>
    </cfRule>
  </conditionalFormatting>
  <conditionalFormatting sqref="I194:J194">
    <cfRule type="cellIs" dxfId="35" priority="45" operator="greaterThanOrEqual">
      <formula>"100%"</formula>
    </cfRule>
  </conditionalFormatting>
  <conditionalFormatting sqref="X192:Z192">
    <cfRule type="cellIs" dxfId="34" priority="46" operator="between">
      <formula>"0%"</formula>
      <formula>"25%"</formula>
    </cfRule>
  </conditionalFormatting>
  <conditionalFormatting sqref="X192:Z192">
    <cfRule type="cellIs" dxfId="33" priority="47" operator="between">
      <formula>"25.01%"</formula>
      <formula>"50%"</formula>
    </cfRule>
  </conditionalFormatting>
  <conditionalFormatting sqref="X192:Z192">
    <cfRule type="cellIs" dxfId="32" priority="48" operator="between">
      <formula>"50.01%"</formula>
      <formula>"75%"</formula>
    </cfRule>
  </conditionalFormatting>
  <conditionalFormatting sqref="X192:Z192">
    <cfRule type="cellIs" dxfId="31" priority="49" operator="between">
      <formula>"75.01%"</formula>
      <formula>"99.99%"</formula>
    </cfRule>
  </conditionalFormatting>
  <conditionalFormatting sqref="X192:Z192">
    <cfRule type="cellIs" dxfId="30" priority="50" operator="greaterThanOrEqual">
      <formula>"100%"</formula>
    </cfRule>
  </conditionalFormatting>
  <conditionalFormatting sqref="X194:Z194">
    <cfRule type="cellIs" dxfId="29" priority="51" operator="between">
      <formula>"0%"</formula>
      <formula>"25%"</formula>
    </cfRule>
  </conditionalFormatting>
  <conditionalFormatting sqref="X194:Z194">
    <cfRule type="cellIs" dxfId="28" priority="52" operator="between">
      <formula>"25.01%"</formula>
      <formula>"50%"</formula>
    </cfRule>
  </conditionalFormatting>
  <conditionalFormatting sqref="X194:Z194">
    <cfRule type="cellIs" dxfId="27" priority="53" operator="between">
      <formula>"50.01%"</formula>
      <formula>"75%"</formula>
    </cfRule>
  </conditionalFormatting>
  <conditionalFormatting sqref="X194:Z194">
    <cfRule type="cellIs" dxfId="26" priority="54" operator="between">
      <formula>"75.01%"</formula>
      <formula>"99.99%"</formula>
    </cfRule>
  </conditionalFormatting>
  <conditionalFormatting sqref="X194:Z194">
    <cfRule type="cellIs" dxfId="25" priority="55" operator="greaterThanOrEqual">
      <formula>"100%"</formula>
    </cfRule>
  </conditionalFormatting>
  <conditionalFormatting sqref="X150:Z150 X195:Z195 X217:Z236 X239:Z239 X246:Z258 X268:Z272 X290:Z290 X352:Z352 X374:Z374 X425:Z425 X505:Z507 X577:Z577 X581:Z581 X662:Z662 X689:Z689">
    <cfRule type="cellIs" dxfId="24" priority="56" operator="between">
      <formula>"0%"</formula>
      <formula>"25%"</formula>
    </cfRule>
  </conditionalFormatting>
  <conditionalFormatting sqref="X150:Z150 X195:Z195 X217:Z236 X239:Z239 X246:Z258 X268:Z272 X290:Z290 X352:Z352 X374:Z374 X425:Z425 X505:Z507 X577:Z577 X581:Z581 X662:Z662 X689:Z689">
    <cfRule type="cellIs" dxfId="23" priority="57" operator="between">
      <formula>"25.01%"</formula>
      <formula>"50%"</formula>
    </cfRule>
  </conditionalFormatting>
  <conditionalFormatting sqref="X150:Z150 X195:Z195 X217:Z236 X239:Z239 X246:Z258 X268:Z272 X290:Z290 X352:Z352 X374:Z374 X425:Z425 X505:Z507 X577:Z577 X581:Z581 X662:Z662 X689:Z689">
    <cfRule type="cellIs" dxfId="22" priority="58" operator="between">
      <formula>"50.01%"</formula>
      <formula>"75%"</formula>
    </cfRule>
  </conditionalFormatting>
  <conditionalFormatting sqref="X150:Z150 X195:Z195 X217:Z236 X239:Z239 X246:Z258 X268:Z272 X290:Z290 X352:Z352 X374:Z374 X425:Z425 X505:Z507 X577:Z577 X581:Z581 X662:Z662 X689:Z689">
    <cfRule type="cellIs" dxfId="21" priority="59" operator="between">
      <formula>"75.01%"</formula>
      <formula>"99.99%"</formula>
    </cfRule>
  </conditionalFormatting>
  <conditionalFormatting sqref="X150:Z150 X195:Z195 X217:Z236 X239:Z239 X246:Z258 X268:Z272 X290:Z290 X352:Z352 X374:Z374 X425:Z425 X505:Z507 X577:Z577 X581:Z581 X662:Z662 X689:Z689">
    <cfRule type="cellIs" dxfId="20" priority="60" operator="greaterThanOrEqual">
      <formula>"100%"</formula>
    </cfRule>
  </conditionalFormatting>
  <conditionalFormatting sqref="I410:J413">
    <cfRule type="cellIs" dxfId="19" priority="61" operator="between">
      <formula>"0%"</formula>
      <formula>"25%"</formula>
    </cfRule>
  </conditionalFormatting>
  <conditionalFormatting sqref="I410:J413">
    <cfRule type="cellIs" dxfId="18" priority="62" operator="between">
      <formula>"25.01%"</formula>
      <formula>"50%"</formula>
    </cfRule>
  </conditionalFormatting>
  <conditionalFormatting sqref="I410:J413">
    <cfRule type="cellIs" dxfId="17" priority="63" operator="between">
      <formula>"50.01%"</formula>
      <formula>"75%"</formula>
    </cfRule>
  </conditionalFormatting>
  <conditionalFormatting sqref="I410:J413">
    <cfRule type="cellIs" dxfId="16" priority="64" operator="between">
      <formula>"75.01%"</formula>
      <formula>"99.99%"</formula>
    </cfRule>
  </conditionalFormatting>
  <conditionalFormatting sqref="I410:J413">
    <cfRule type="cellIs" dxfId="15" priority="65" operator="greaterThanOrEqual">
      <formula>"100%"</formula>
    </cfRule>
  </conditionalFormatting>
  <conditionalFormatting sqref="X410:Z412">
    <cfRule type="cellIs" dxfId="14" priority="66" operator="between">
      <formula>"0%"</formula>
      <formula>"25%"</formula>
    </cfRule>
  </conditionalFormatting>
  <conditionalFormatting sqref="X410:Z412">
    <cfRule type="cellIs" dxfId="13" priority="67" operator="between">
      <formula>"25.01%"</formula>
      <formula>"50%"</formula>
    </cfRule>
  </conditionalFormatting>
  <conditionalFormatting sqref="X410:Z412">
    <cfRule type="cellIs" dxfId="12" priority="68" operator="between">
      <formula>"50.01%"</formula>
      <formula>"75%"</formula>
    </cfRule>
  </conditionalFormatting>
  <conditionalFormatting sqref="X410:Z412">
    <cfRule type="cellIs" dxfId="11" priority="69" operator="between">
      <formula>"75.01%"</formula>
      <formula>"99.99%"</formula>
    </cfRule>
  </conditionalFormatting>
  <conditionalFormatting sqref="X410:Z412">
    <cfRule type="cellIs" dxfId="10" priority="70" operator="greaterThanOrEqual">
      <formula>"100%"</formula>
    </cfRule>
  </conditionalFormatting>
  <conditionalFormatting sqref="X455:Z455 X462:Z470 X475:Z475">
    <cfRule type="cellIs" dxfId="9" priority="71" operator="between">
      <formula>"0%"</formula>
      <formula>"25%"</formula>
    </cfRule>
  </conditionalFormatting>
  <conditionalFormatting sqref="X455:Z455 X462:Z470 X475:Z475">
    <cfRule type="cellIs" dxfId="8" priority="72" operator="between">
      <formula>"25.01%"</formula>
      <formula>"50%"</formula>
    </cfRule>
  </conditionalFormatting>
  <conditionalFormatting sqref="X455:Z455 X462:Z470 X475:Z475">
    <cfRule type="cellIs" dxfId="7" priority="73" operator="between">
      <formula>"50.01%"</formula>
      <formula>"75%"</formula>
    </cfRule>
  </conditionalFormatting>
  <conditionalFormatting sqref="X455:Z455 X462:Z470 X475:Z475">
    <cfRule type="cellIs" dxfId="6" priority="74" operator="between">
      <formula>"75.01%"</formula>
      <formula>"99.99%"</formula>
    </cfRule>
  </conditionalFormatting>
  <conditionalFormatting sqref="X455:Z455 X462:Z470 X475:Z475">
    <cfRule type="cellIs" dxfId="5" priority="75" operator="greaterThanOrEqual">
      <formula>"100%"</formula>
    </cfRule>
  </conditionalFormatting>
  <conditionalFormatting sqref="X472:Z480 X515:Z515 X522:Z522 X524:Z524 X527:Z527 X533:Z533 X541:Z541">
    <cfRule type="cellIs" dxfId="4" priority="76" operator="between">
      <formula>"0%"</formula>
      <formula>"25%"</formula>
    </cfRule>
  </conditionalFormatting>
  <conditionalFormatting sqref="X472:Z480 X515:Z515 X522:Z522 X524:Z524 X527:Z527 X533:Z533 X541:Z541">
    <cfRule type="cellIs" dxfId="3" priority="77" operator="between">
      <formula>"25.01%"</formula>
      <formula>"50%"</formula>
    </cfRule>
  </conditionalFormatting>
  <conditionalFormatting sqref="X472:Z480 X515:Z515 X522:Z522 X524:Z524 X527:Z527 X533:Z533 X541:Z541">
    <cfRule type="cellIs" dxfId="2" priority="78" operator="between">
      <formula>"50.01%"</formula>
      <formula>"75%"</formula>
    </cfRule>
  </conditionalFormatting>
  <conditionalFormatting sqref="X472:Z480 X515:Z515 X522:Z522 X524:Z524 X527:Z527 X533:Z533 X541:Z541">
    <cfRule type="cellIs" dxfId="1" priority="79" operator="between">
      <formula>"75.01%"</formula>
      <formula>"99.99%"</formula>
    </cfRule>
  </conditionalFormatting>
  <conditionalFormatting sqref="X472:Z480 X515:Z515 X522:Z522 X524:Z524 X527:Z527 X533:Z533 X541:Z541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8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P1004"/>
  <sheetViews>
    <sheetView showGridLines="0" topLeftCell="A64" workbookViewId="0">
      <selection activeCell="F88" sqref="F88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7.285156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</cols>
  <sheetData>
    <row r="3" spans="2:9">
      <c r="B3" s="528" t="s">
        <v>1152</v>
      </c>
      <c r="C3" s="529">
        <f>'2022'!$C$2</f>
        <v>2022</v>
      </c>
      <c r="E3" s="530" t="s">
        <v>1153</v>
      </c>
      <c r="F3" s="529">
        <f>'2022'!$C$2</f>
        <v>2022</v>
      </c>
      <c r="H3" s="530" t="s">
        <v>1154</v>
      </c>
      <c r="I3" s="529">
        <f>'2022'!$C$2</f>
        <v>2022</v>
      </c>
    </row>
    <row r="4" spans="2:9">
      <c r="B4" s="531"/>
      <c r="C4" s="531"/>
      <c r="E4" s="532" t="s">
        <v>1155</v>
      </c>
      <c r="F4" s="621">
        <f>'2022'!G3-(SUM(F5:F13))</f>
        <v>3592889.629999999</v>
      </c>
      <c r="H4" s="531"/>
      <c r="I4" s="531"/>
    </row>
    <row r="5" spans="2:9">
      <c r="B5" s="534" t="str">
        <f>'2022'!G2</f>
        <v>MATRIZ ORÇAMENTÁRIA AJUSTADA</v>
      </c>
      <c r="C5" s="621">
        <f>'2022'!G3</f>
        <v>4124319.1999999993</v>
      </c>
      <c r="E5" s="535" t="str">
        <f>'2022'!D191</f>
        <v xml:space="preserve">PIIQP </v>
      </c>
      <c r="F5" s="621">
        <f>'2022'!G191</f>
        <v>41243.192000000003</v>
      </c>
      <c r="H5" s="532" t="str">
        <f>'2022'!D339</f>
        <v xml:space="preserve">5% CUSTEIO DO CAMPUS </v>
      </c>
      <c r="I5" s="533">
        <f>'2022'!G339</f>
        <v>206215.96</v>
      </c>
    </row>
    <row r="6" spans="2:9">
      <c r="B6" s="535" t="str">
        <f>'2022'!D424</f>
        <v>FNDE</v>
      </c>
      <c r="C6" s="621">
        <f>'2022'!H424</f>
        <v>200000</v>
      </c>
      <c r="E6" s="535" t="str">
        <f>'2022'!D193</f>
        <v xml:space="preserve">PIIQPPE </v>
      </c>
      <c r="F6" s="621">
        <f>'2022'!G193</f>
        <v>11039.870000000003</v>
      </c>
      <c r="H6" s="535" t="str">
        <f>'2022'!D358</f>
        <v>PNAES - PTRES 170804</v>
      </c>
      <c r="I6" s="533">
        <f>'2022'!H358</f>
        <v>10000</v>
      </c>
    </row>
    <row r="7" spans="2:9">
      <c r="B7" s="535" t="str">
        <f>'2022'!D358</f>
        <v>PNAES - PTRES 170804</v>
      </c>
      <c r="C7" s="621">
        <f>'2022'!H358</f>
        <v>10000</v>
      </c>
      <c r="E7" s="536" t="str">
        <f>'2022'!D246</f>
        <v xml:space="preserve">FUNDO DE TI </v>
      </c>
      <c r="F7" s="621">
        <f>'2022'!G246</f>
        <v>46092.98</v>
      </c>
      <c r="H7" s="535" t="str">
        <f>'2022'!D371</f>
        <v>RIP - PTRES 170803</v>
      </c>
      <c r="I7" s="533">
        <f>'2022'!H371</f>
        <v>2749944.87</v>
      </c>
    </row>
    <row r="8" spans="2:9">
      <c r="B8" s="534" t="str">
        <f>'2022'!D371</f>
        <v>RIP - PTRES 170803</v>
      </c>
      <c r="C8" s="621">
        <f>'2022'!H371</f>
        <v>2749944.87</v>
      </c>
      <c r="E8" s="535" t="str">
        <f>'2022'!D195</f>
        <v>PIDES</v>
      </c>
      <c r="F8" s="621">
        <f>'2022'!G195</f>
        <v>0</v>
      </c>
      <c r="H8" s="535" t="str">
        <f>'2022'!D424</f>
        <v>FNDE</v>
      </c>
      <c r="I8" s="533">
        <f>'2022'!H424</f>
        <v>200000</v>
      </c>
    </row>
    <row r="9" spans="2:9">
      <c r="B9" s="534" t="str">
        <f>'2022'!H2</f>
        <v>OUTROS RECURSOS</v>
      </c>
      <c r="C9" s="621">
        <f>'2022'!H3-'2022'!H358-'2022'!H424-'2022'!H371</f>
        <v>9780000</v>
      </c>
      <c r="E9" s="532" t="str">
        <f>'2022'!D330</f>
        <v xml:space="preserve">PROJETOS DE ENSINO </v>
      </c>
      <c r="F9" s="621">
        <f>'2022'!G330</f>
        <v>41243.19</v>
      </c>
      <c r="H9" s="534" t="str">
        <f>'2022'!H2</f>
        <v>OUTROS RECURSOS</v>
      </c>
      <c r="I9" s="533">
        <f>(('2022'!H338)+('2022'!G338))-(SUM(I5:I8))</f>
        <v>80000</v>
      </c>
    </row>
    <row r="10" spans="2:9">
      <c r="B10" s="537"/>
      <c r="C10" s="537"/>
      <c r="E10" s="532" t="str">
        <f>'2022'!D338</f>
        <v>ASSISTÊNCIA ESTUDANTIL</v>
      </c>
      <c r="F10" s="621">
        <f>'2022'!G339</f>
        <v>206215.96</v>
      </c>
      <c r="H10" s="532"/>
      <c r="I10" s="533"/>
    </row>
    <row r="11" spans="2:9">
      <c r="B11" s="537"/>
      <c r="C11" s="537"/>
      <c r="E11" s="532" t="str">
        <f>'2022'!D450</f>
        <v xml:space="preserve">AÇÕES INCLUSIVAS </v>
      </c>
      <c r="F11" s="621">
        <f>'2022'!G450</f>
        <v>61864.799999999996</v>
      </c>
      <c r="H11" s="532"/>
      <c r="I11" s="533"/>
    </row>
    <row r="12" spans="2:9">
      <c r="B12" s="537"/>
      <c r="C12" s="537"/>
      <c r="E12" s="532" t="str">
        <f>'2022'!D514</f>
        <v>PROJETOS DE PESQUISA</v>
      </c>
      <c r="F12" s="621">
        <f>'2022'!G514</f>
        <v>61864.788000000008</v>
      </c>
      <c r="H12" s="532"/>
      <c r="I12" s="533"/>
    </row>
    <row r="13" spans="2:9">
      <c r="B13" s="537"/>
      <c r="C13" s="537"/>
      <c r="E13" s="532" t="str">
        <f>'2022'!D540</f>
        <v>PROJETOS DE EXTENSÃO- PI - LEN09P20FAI</v>
      </c>
      <c r="F13" s="621">
        <f>'2022'!G540</f>
        <v>61864.789999999994</v>
      </c>
      <c r="H13" s="532"/>
      <c r="I13" s="533"/>
    </row>
    <row r="14" spans="2:9">
      <c r="B14" s="537"/>
      <c r="C14" s="537"/>
      <c r="E14" s="537"/>
      <c r="F14" s="537"/>
      <c r="H14" s="537"/>
      <c r="I14" s="537"/>
    </row>
    <row r="15" spans="2:9">
      <c r="B15" s="537"/>
      <c r="C15" s="537"/>
      <c r="E15" s="537"/>
      <c r="F15" s="537"/>
      <c r="H15" s="537"/>
      <c r="I15" s="537"/>
    </row>
    <row r="16" spans="2:9">
      <c r="B16" s="537"/>
      <c r="C16" s="537"/>
      <c r="E16" s="537"/>
      <c r="F16" s="537"/>
      <c r="H16" s="537"/>
      <c r="I16" s="537"/>
    </row>
    <row r="17" spans="2:13">
      <c r="B17" s="537"/>
      <c r="C17" s="537"/>
      <c r="E17" s="537"/>
      <c r="F17" s="537"/>
      <c r="H17" s="537"/>
      <c r="I17" s="537"/>
    </row>
    <row r="18" spans="2:13">
      <c r="B18" s="537"/>
      <c r="C18" s="537"/>
      <c r="E18" s="537"/>
      <c r="F18" s="537"/>
      <c r="H18" s="537"/>
      <c r="I18" s="537"/>
    </row>
    <row r="19" spans="2:13">
      <c r="B19" s="537"/>
      <c r="C19" s="537"/>
      <c r="E19" s="537"/>
      <c r="F19" s="537"/>
      <c r="H19" s="537"/>
      <c r="I19" s="537"/>
    </row>
    <row r="20" spans="2:13">
      <c r="B20" s="537"/>
      <c r="C20" s="537"/>
      <c r="E20" s="537"/>
      <c r="F20" s="537"/>
      <c r="H20" s="537"/>
      <c r="I20" s="537"/>
    </row>
    <row r="21" spans="2:13" ht="15.75" customHeight="1">
      <c r="B21" s="537"/>
      <c r="C21" s="537"/>
      <c r="E21" s="537"/>
      <c r="F21" s="537"/>
      <c r="H21" s="537"/>
      <c r="I21" s="537"/>
    </row>
    <row r="22" spans="2:13" ht="15.75" customHeight="1">
      <c r="B22" s="537"/>
      <c r="C22" s="537"/>
      <c r="E22" s="537"/>
      <c r="F22" s="537"/>
      <c r="H22" s="537"/>
      <c r="I22" s="537"/>
    </row>
    <row r="23" spans="2:13" ht="15.75" customHeight="1">
      <c r="B23" s="537"/>
      <c r="C23" s="537"/>
      <c r="E23" s="537"/>
      <c r="F23" s="537"/>
      <c r="H23" s="537"/>
      <c r="I23" s="537"/>
    </row>
    <row r="24" spans="2:13" ht="15.75" customHeight="1">
      <c r="B24" s="537"/>
      <c r="C24" s="537"/>
      <c r="E24" s="537"/>
      <c r="F24" s="537"/>
      <c r="H24" s="537"/>
      <c r="I24" s="537"/>
    </row>
    <row r="25" spans="2:13" ht="15.75" customHeight="1">
      <c r="B25" s="537"/>
      <c r="C25" s="537"/>
      <c r="E25" s="537"/>
      <c r="F25" s="537"/>
      <c r="H25" s="537"/>
      <c r="I25" s="537"/>
    </row>
    <row r="26" spans="2:13" ht="15.75" customHeight="1">
      <c r="B26" s="537"/>
      <c r="C26" s="537"/>
      <c r="E26" s="537"/>
      <c r="F26" s="537"/>
      <c r="H26" s="537"/>
      <c r="I26" s="537"/>
    </row>
    <row r="27" spans="2:13" ht="15.75" customHeight="1">
      <c r="B27" s="537"/>
      <c r="C27" s="537"/>
      <c r="E27" s="537"/>
      <c r="F27" s="537"/>
      <c r="H27" s="537"/>
      <c r="I27" s="537"/>
    </row>
    <row r="28" spans="2:13" ht="15.75" customHeight="1">
      <c r="B28" s="537"/>
      <c r="C28" s="537"/>
      <c r="E28" s="537"/>
      <c r="F28" s="537"/>
      <c r="H28" s="537"/>
      <c r="I28" s="537"/>
    </row>
    <row r="29" spans="2:13" ht="15.75" customHeight="1">
      <c r="B29" s="537"/>
      <c r="C29" s="537"/>
      <c r="E29" s="537"/>
      <c r="F29" s="537"/>
      <c r="H29" s="537"/>
      <c r="I29" s="537"/>
    </row>
    <row r="30" spans="2:13" ht="15.75" customHeight="1"/>
    <row r="31" spans="2:13" ht="15.75" customHeight="1"/>
    <row r="32" spans="2:13" ht="15.75" customHeight="1">
      <c r="B32" s="530" t="s">
        <v>1156</v>
      </c>
      <c r="C32" s="529">
        <f>'2022'!$C$2</f>
        <v>2022</v>
      </c>
      <c r="E32" s="530" t="s">
        <v>1157</v>
      </c>
      <c r="F32" s="529">
        <f>'2022'!$C$2</f>
        <v>2022</v>
      </c>
      <c r="H32" s="530" t="s">
        <v>1158</v>
      </c>
      <c r="I32" s="529">
        <f>'2022'!$C$2</f>
        <v>2022</v>
      </c>
      <c r="K32" s="619" t="s">
        <v>1159</v>
      </c>
      <c r="L32" s="580"/>
      <c r="M32" s="529">
        <f>'2022'!$C$2</f>
        <v>2022</v>
      </c>
    </row>
    <row r="33" spans="2:16" ht="15.75" customHeight="1">
      <c r="B33" s="537"/>
      <c r="C33" s="537"/>
      <c r="E33" s="532" t="str">
        <f>'2022'!B4</f>
        <v>DG - DIREÇÃO GERAL</v>
      </c>
      <c r="F33" s="538">
        <f>'2022'!K4</f>
        <v>5022.67</v>
      </c>
      <c r="H33" s="532" t="str">
        <f>'2022'!B4</f>
        <v>DG - DIREÇÃO GERAL</v>
      </c>
      <c r="I33" s="538">
        <f>'2022'!O4</f>
        <v>5022.67</v>
      </c>
      <c r="K33" s="539" t="s">
        <v>1160</v>
      </c>
      <c r="L33" s="540" t="s">
        <v>1161</v>
      </c>
      <c r="M33" s="540" t="s">
        <v>1162</v>
      </c>
    </row>
    <row r="34" spans="2:16" ht="15.75" customHeight="1">
      <c r="B34" s="532" t="str">
        <f>'2022'!B4</f>
        <v>DG - DIREÇÃO GERAL</v>
      </c>
      <c r="C34" s="538">
        <f>'2022'!G4</f>
        <v>25000</v>
      </c>
      <c r="E34" s="541" t="str">
        <f>'2022'!B9</f>
        <v>DAD - DIRETORIA DE ADMINISTRAÇÃO</v>
      </c>
      <c r="F34" s="541">
        <f>'2022'!K9</f>
        <v>2053588.3299999998</v>
      </c>
      <c r="H34" s="541" t="str">
        <f>'2022'!B9</f>
        <v>DAD - DIRETORIA DE ADMINISTRAÇÃO</v>
      </c>
      <c r="I34" s="541">
        <f>'2022'!O9</f>
        <v>2012885.49</v>
      </c>
      <c r="K34" s="539" t="s">
        <v>58</v>
      </c>
      <c r="L34" s="542">
        <f>'2022'!$G$717/12</f>
        <v>343693.2666666666</v>
      </c>
      <c r="M34" s="543">
        <f>'2022'!AA718</f>
        <v>1157216</v>
      </c>
    </row>
    <row r="35" spans="2:16" ht="15.75" customHeight="1">
      <c r="B35" s="541" t="str">
        <f>'2022'!B9</f>
        <v>DAD - DIRETORIA DE ADMINISTRAÇÃO</v>
      </c>
      <c r="C35" s="541">
        <f>'2022'!G9</f>
        <v>2087189.63</v>
      </c>
      <c r="E35" s="532" t="str">
        <f>'2022'!B166</f>
        <v>DPDI - DIRETORIA DE PLANEJ E DESENV INSTITUCIONAL</v>
      </c>
      <c r="F35" s="538">
        <f>'2022'!K166</f>
        <v>132792.95000000001</v>
      </c>
      <c r="H35" s="532" t="str">
        <f>'2022'!B166</f>
        <v>DPDI - DIRETORIA DE PLANEJ E DESENV INSTITUCIONAL</v>
      </c>
      <c r="I35" s="538">
        <f>'2022'!O166</f>
        <v>109724.39</v>
      </c>
      <c r="K35" s="539" t="s">
        <v>59</v>
      </c>
      <c r="L35" s="542">
        <f>'2022'!$G$717/12</f>
        <v>343693.2666666666</v>
      </c>
      <c r="M35" s="543">
        <f>'2022'!AB718</f>
        <v>385739</v>
      </c>
    </row>
    <row r="36" spans="2:16" ht="15.75" customHeight="1">
      <c r="B36" s="532" t="str">
        <f>'2022'!B166</f>
        <v>DPDI - DIRETORIA DE PLANEJ E DESENV INSTITUCIONAL</v>
      </c>
      <c r="C36" s="538">
        <f>'2022'!G166</f>
        <v>261376.04200000002</v>
      </c>
      <c r="E36" s="532" t="str">
        <f>'2022'!B280</f>
        <v>DE - DIRETORIA DE ENSINO</v>
      </c>
      <c r="F36" s="538">
        <f>'2022'!K280</f>
        <v>161785.56</v>
      </c>
      <c r="H36" s="532" t="str">
        <f>'2022'!B280</f>
        <v>DE - DIRETORIA DE ENSINO</v>
      </c>
      <c r="I36" s="538">
        <f>'2022'!O280</f>
        <v>161785.56</v>
      </c>
      <c r="K36" s="539" t="s">
        <v>60</v>
      </c>
      <c r="L36" s="542">
        <f>'2022'!$G$717/12</f>
        <v>343693.2666666666</v>
      </c>
      <c r="M36" s="543">
        <f>'2022'!AC718</f>
        <v>80000</v>
      </c>
    </row>
    <row r="37" spans="2:16" ht="15.75" customHeight="1">
      <c r="B37" s="532" t="str">
        <f>'2022'!B280</f>
        <v>DE - DIRETORIA DE ENSINO</v>
      </c>
      <c r="C37" s="538">
        <f>'2022'!G280</f>
        <v>527423.94999999995</v>
      </c>
      <c r="E37" s="532" t="str">
        <f>'2022'!B512</f>
        <v>DPEP - DIRETORIA DE PESQUISA, EXTENSÃO E PRODUÇÃO</v>
      </c>
      <c r="F37" s="538">
        <f>'2022'!K512</f>
        <v>1235847.3700000001</v>
      </c>
      <c r="H37" s="532" t="str">
        <f>'2022'!B512</f>
        <v>DPEP - DIRETORIA DE PESQUISA, EXTENSÃO E PRODUÇÃO</v>
      </c>
      <c r="I37" s="538">
        <f>'2022'!O512</f>
        <v>1119716.1700000002</v>
      </c>
      <c r="K37" s="539" t="s">
        <v>61</v>
      </c>
      <c r="L37" s="542">
        <f>'2022'!$G$717/12</f>
        <v>343693.2666666666</v>
      </c>
      <c r="M37" s="544">
        <f>'2022'!AD718</f>
        <v>1928694</v>
      </c>
    </row>
    <row r="38" spans="2:16" ht="15.75" customHeight="1">
      <c r="B38" s="532" t="str">
        <f>'2022'!B512</f>
        <v>DPEP - DIRETORIA DE PESQUISA, EXTENSÃO E PRODUÇÃO</v>
      </c>
      <c r="C38" s="538">
        <f>'2022'!G512</f>
        <v>1223329.578</v>
      </c>
      <c r="E38" s="536" t="str">
        <f>'2022'!B707</f>
        <v>DESPESAS REALIZADAS PELA REITORIA</v>
      </c>
      <c r="F38" s="545">
        <f>'2022'!K707</f>
        <v>996924.26</v>
      </c>
      <c r="H38" s="536" t="str">
        <f>'2022'!B707</f>
        <v>DESPESAS REALIZADAS PELA REITORIA</v>
      </c>
      <c r="I38" s="545">
        <f>'2022'!O707</f>
        <v>996924.25999999989</v>
      </c>
      <c r="K38" s="539" t="s">
        <v>62</v>
      </c>
      <c r="L38" s="542">
        <f>'2022'!$G$717/12</f>
        <v>343693.2666666666</v>
      </c>
      <c r="M38" s="544">
        <f>'2022'!AE718</f>
        <v>267008.21999999997</v>
      </c>
    </row>
    <row r="39" spans="2:16" ht="15.75" customHeight="1">
      <c r="B39" s="537"/>
      <c r="C39" s="537"/>
      <c r="E39" s="537"/>
      <c r="F39" s="537"/>
      <c r="H39" s="537"/>
      <c r="I39" s="537"/>
      <c r="K39" s="539" t="s">
        <v>63</v>
      </c>
      <c r="L39" s="542">
        <f>'2022'!$G$717/12</f>
        <v>343693.2666666666</v>
      </c>
      <c r="M39" s="544">
        <f>'2022'!AF718</f>
        <v>335653.63999999996</v>
      </c>
    </row>
    <row r="40" spans="2:16" ht="15.75" customHeight="1">
      <c r="B40" s="537"/>
      <c r="C40" s="537"/>
      <c r="E40" s="537"/>
      <c r="F40" s="537"/>
      <c r="H40" s="537"/>
      <c r="I40" s="537"/>
      <c r="K40" s="539" t="s">
        <v>64</v>
      </c>
      <c r="L40" s="542">
        <f>'2022'!$G$717/12</f>
        <v>343693.2666666666</v>
      </c>
      <c r="M40" s="543">
        <f>'2022'!AA720</f>
        <v>78286.540000000008</v>
      </c>
    </row>
    <row r="41" spans="2:16" ht="15.75" customHeight="1">
      <c r="B41" s="537"/>
      <c r="C41" s="537"/>
      <c r="E41" s="537"/>
      <c r="F41" s="537"/>
      <c r="H41" s="537"/>
      <c r="I41" s="537"/>
      <c r="K41" s="539" t="s">
        <v>65</v>
      </c>
      <c r="L41" s="542">
        <f>'2022'!$G$717/12</f>
        <v>343693.2666666666</v>
      </c>
      <c r="M41" s="543">
        <f>'2022'!AB720</f>
        <v>11788.77</v>
      </c>
    </row>
    <row r="42" spans="2:16" ht="15.75" customHeight="1">
      <c r="B42" s="537"/>
      <c r="C42" s="537"/>
      <c r="E42" s="537"/>
      <c r="F42" s="537"/>
      <c r="H42" s="537"/>
      <c r="I42" s="537"/>
      <c r="K42" s="539" t="s">
        <v>66</v>
      </c>
      <c r="L42" s="542">
        <f>'2022'!$G$717/12</f>
        <v>343693.2666666666</v>
      </c>
      <c r="M42" s="543">
        <f>'2022'!AC720</f>
        <v>200000</v>
      </c>
    </row>
    <row r="43" spans="2:16" ht="15.75" customHeight="1">
      <c r="B43" s="537"/>
      <c r="C43" s="537"/>
      <c r="E43" s="537"/>
      <c r="F43" s="537"/>
      <c r="H43" s="537"/>
      <c r="I43" s="537"/>
      <c r="K43" s="539" t="s">
        <v>67</v>
      </c>
      <c r="L43" s="542">
        <f>'2022'!$G$717/12</f>
        <v>343693.2666666666</v>
      </c>
      <c r="M43" s="544">
        <f>'2022'!AD720</f>
        <v>-16265.89</v>
      </c>
    </row>
    <row r="44" spans="2:16" ht="15.75" customHeight="1">
      <c r="B44" s="537"/>
      <c r="C44" s="537"/>
      <c r="E44" s="537"/>
      <c r="F44" s="537"/>
      <c r="H44" s="537"/>
      <c r="I44" s="537"/>
      <c r="K44" s="539" t="s">
        <v>68</v>
      </c>
      <c r="L44" s="542">
        <f>'2022'!$G$717/12</f>
        <v>343693.2666666666</v>
      </c>
      <c r="M44" s="544">
        <f>'2022'!AE720</f>
        <v>27830.25</v>
      </c>
    </row>
    <row r="45" spans="2:16" ht="15.75" customHeight="1">
      <c r="B45" s="537"/>
      <c r="C45" s="537"/>
      <c r="E45" s="537"/>
      <c r="F45" s="537"/>
      <c r="H45" s="537"/>
      <c r="I45" s="537"/>
      <c r="K45" s="539" t="s">
        <v>69</v>
      </c>
      <c r="L45" s="542">
        <f>'2022'!$G$717/12</f>
        <v>343693.2666666666</v>
      </c>
      <c r="M45" s="544">
        <f>'2022'!AF720</f>
        <v>-95435.65</v>
      </c>
    </row>
    <row r="46" spans="2:16" ht="15.75" customHeight="1">
      <c r="B46" s="537"/>
      <c r="C46" s="537"/>
      <c r="E46" s="537"/>
      <c r="F46" s="537"/>
      <c r="H46" s="537"/>
      <c r="I46" s="537"/>
      <c r="K46" s="539"/>
      <c r="L46" s="539"/>
      <c r="M46" s="539"/>
      <c r="N46" s="546"/>
      <c r="P46" s="547"/>
    </row>
    <row r="47" spans="2:16" ht="15.75" customHeight="1">
      <c r="B47" s="537"/>
      <c r="C47" s="537"/>
      <c r="E47" s="537"/>
      <c r="F47" s="537"/>
      <c r="H47" s="537"/>
      <c r="I47" s="537"/>
      <c r="K47" s="539"/>
      <c r="L47" s="539"/>
      <c r="M47" s="539"/>
    </row>
    <row r="48" spans="2:16" ht="15.75" customHeight="1">
      <c r="B48" s="537"/>
      <c r="C48" s="537"/>
      <c r="E48" s="537"/>
      <c r="F48" s="537"/>
      <c r="H48" s="537"/>
      <c r="I48" s="537"/>
      <c r="K48" s="539"/>
      <c r="L48" s="539"/>
      <c r="M48" s="539"/>
    </row>
    <row r="49" spans="2:13" ht="15.75" customHeight="1">
      <c r="B49" s="537"/>
      <c r="C49" s="537"/>
      <c r="E49" s="537"/>
      <c r="F49" s="537"/>
      <c r="H49" s="537"/>
      <c r="I49" s="537"/>
      <c r="K49" s="539"/>
      <c r="L49" s="539"/>
      <c r="M49" s="539"/>
    </row>
    <row r="50" spans="2:13" ht="15.75" customHeight="1">
      <c r="B50" s="537"/>
      <c r="C50" s="537"/>
      <c r="E50" s="537"/>
      <c r="F50" s="537"/>
      <c r="H50" s="537"/>
      <c r="I50" s="537"/>
      <c r="K50" s="539"/>
      <c r="L50" s="539"/>
      <c r="M50" s="539"/>
    </row>
    <row r="51" spans="2:13" ht="15.75" customHeight="1">
      <c r="B51" s="537"/>
      <c r="C51" s="537"/>
      <c r="E51" s="537"/>
      <c r="F51" s="537"/>
      <c r="H51" s="537"/>
      <c r="I51" s="537"/>
      <c r="K51" s="539"/>
      <c r="L51" s="539"/>
      <c r="M51" s="539"/>
    </row>
    <row r="52" spans="2:13" ht="15.75" customHeight="1">
      <c r="B52" s="537"/>
      <c r="C52" s="537"/>
      <c r="E52" s="537"/>
      <c r="F52" s="537"/>
      <c r="H52" s="537"/>
      <c r="I52" s="537"/>
      <c r="K52" s="539"/>
      <c r="L52" s="539"/>
      <c r="M52" s="539"/>
    </row>
    <row r="53" spans="2:13" ht="15.75" customHeight="1">
      <c r="B53" s="537"/>
      <c r="C53" s="537"/>
      <c r="E53" s="537"/>
      <c r="F53" s="537"/>
      <c r="H53" s="537"/>
      <c r="I53" s="537"/>
      <c r="K53" s="539"/>
      <c r="L53" s="539"/>
      <c r="M53" s="539"/>
    </row>
    <row r="54" spans="2:13" ht="15.75" customHeight="1">
      <c r="B54" s="537"/>
      <c r="C54" s="537"/>
      <c r="E54" s="537"/>
      <c r="F54" s="537"/>
      <c r="H54" s="537"/>
      <c r="I54" s="537"/>
      <c r="K54" s="539"/>
      <c r="L54" s="539"/>
      <c r="M54" s="539"/>
    </row>
    <row r="55" spans="2:13" ht="15.75" customHeight="1">
      <c r="B55" s="537"/>
      <c r="C55" s="537"/>
      <c r="E55" s="537"/>
      <c r="F55" s="537"/>
      <c r="H55" s="537"/>
      <c r="I55" s="537"/>
      <c r="K55" s="539"/>
      <c r="L55" s="539"/>
      <c r="M55" s="539"/>
    </row>
    <row r="56" spans="2:13" ht="15.75" customHeight="1">
      <c r="B56" s="537"/>
      <c r="C56" s="537"/>
      <c r="E56" s="537"/>
      <c r="F56" s="537"/>
      <c r="H56" s="537"/>
      <c r="I56" s="537"/>
      <c r="K56" s="539"/>
      <c r="L56" s="539"/>
      <c r="M56" s="539"/>
    </row>
    <row r="57" spans="2:13" ht="15.75" customHeight="1">
      <c r="B57" s="537"/>
      <c r="C57" s="537"/>
      <c r="E57" s="537"/>
      <c r="F57" s="537"/>
      <c r="H57" s="537"/>
      <c r="I57" s="537"/>
      <c r="K57" s="539"/>
      <c r="L57" s="539"/>
      <c r="M57" s="539"/>
    </row>
    <row r="58" spans="2:13" ht="15.75" customHeight="1">
      <c r="B58" s="537"/>
      <c r="C58" s="537"/>
      <c r="E58" s="537"/>
      <c r="F58" s="537"/>
      <c r="H58" s="537"/>
      <c r="I58" s="537"/>
      <c r="K58" s="548"/>
      <c r="L58" s="548"/>
      <c r="M58" s="548"/>
    </row>
    <row r="59" spans="2:13" ht="15.75" customHeight="1"/>
    <row r="60" spans="2:13" ht="15.75" customHeight="1"/>
    <row r="61" spans="2:13" ht="15.75" customHeight="1">
      <c r="B61" s="530" t="s">
        <v>1163</v>
      </c>
      <c r="C61" s="529">
        <f>'2022'!$C$2</f>
        <v>2022</v>
      </c>
      <c r="E61" s="530" t="s">
        <v>1164</v>
      </c>
      <c r="F61" s="529">
        <f>'2022'!$C$2</f>
        <v>2022</v>
      </c>
      <c r="H61" s="530" t="s">
        <v>1165</v>
      </c>
      <c r="I61" s="529">
        <f>'2022'!$C$2</f>
        <v>2022</v>
      </c>
      <c r="K61" s="619" t="s">
        <v>1166</v>
      </c>
      <c r="L61" s="580"/>
      <c r="M61" s="529">
        <f>'2022'!$C$2</f>
        <v>2022</v>
      </c>
    </row>
    <row r="62" spans="2:13" ht="15.75" customHeight="1">
      <c r="B62" s="549" t="s">
        <v>1167</v>
      </c>
      <c r="C62" s="550"/>
      <c r="E62" s="549" t="s">
        <v>1168</v>
      </c>
      <c r="F62" s="550"/>
      <c r="H62" s="620"/>
      <c r="I62" s="581"/>
      <c r="K62" s="620"/>
      <c r="L62" s="581"/>
      <c r="M62" s="6"/>
    </row>
    <row r="63" spans="2:13" ht="15.75" customHeight="1">
      <c r="B63" s="551"/>
      <c r="C63" s="551"/>
      <c r="E63" s="551" t="str">
        <f>'2022'!D718</f>
        <v>ORÇAMENTO LIBERADO</v>
      </c>
      <c r="F63" s="552">
        <f>'2022'!G718</f>
        <v>5262003.49</v>
      </c>
      <c r="H63" s="551" t="s">
        <v>1169</v>
      </c>
      <c r="I63" s="552">
        <f>'2022'!L719</f>
        <v>3858148.9499999997</v>
      </c>
      <c r="K63" s="552" t="str">
        <f>'2022'!K723</f>
        <v>ORÇAMENTO MATRIZ</v>
      </c>
      <c r="L63" s="552">
        <f>'2022'!M723</f>
        <v>5262003.49</v>
      </c>
      <c r="M63" s="553">
        <f>'2022'!N723</f>
        <v>0.55734718536685779</v>
      </c>
    </row>
    <row r="64" spans="2:13" ht="15.75" customHeight="1">
      <c r="B64" s="551" t="str">
        <f>'2022'!D717</f>
        <v>ORÇAMENTO PLANEJADO</v>
      </c>
      <c r="C64" s="554">
        <f>'2022'!G717</f>
        <v>4124319.1999999993</v>
      </c>
      <c r="E64" s="551" t="str">
        <f>'2022'!D719</f>
        <v>ORÇAMENTO EMPENHADO</v>
      </c>
      <c r="F64" s="552">
        <f>'2022'!G719</f>
        <v>4585961.1399999997</v>
      </c>
      <c r="H64" s="551" t="s">
        <v>1170</v>
      </c>
      <c r="I64" s="552">
        <f>'2022'!P720</f>
        <v>3248841.5700000003</v>
      </c>
      <c r="K64" s="552" t="str">
        <f>'2022'!K724</f>
        <v>ASSISTÊNCIA ESTUDANTIL</v>
      </c>
      <c r="L64" s="552">
        <f>'2022'!M724</f>
        <v>2733673.99</v>
      </c>
      <c r="M64" s="553">
        <f>'2022'!N724</f>
        <v>0.28954855444937905</v>
      </c>
    </row>
    <row r="65" spans="2:13" ht="15.75" customHeight="1">
      <c r="B65" s="551" t="str">
        <f>'2022'!D718</f>
        <v>ORÇAMENTO LIBERADO</v>
      </c>
      <c r="C65" s="555">
        <f>'2022'!G718</f>
        <v>5262003.49</v>
      </c>
      <c r="E65" s="551" t="str">
        <f>'2022'!D720</f>
        <v>ORÇAMENTO EXECUTADO</v>
      </c>
      <c r="F65" s="552">
        <f>'2022'!G720</f>
        <v>4406058.54</v>
      </c>
      <c r="H65" s="551" t="s">
        <v>1171</v>
      </c>
      <c r="I65" s="552">
        <f>'2022'!G726</f>
        <v>470628.69999999943</v>
      </c>
      <c r="K65" s="552" t="str">
        <f>'2022'!K725</f>
        <v>FNDE</v>
      </c>
      <c r="L65" s="552">
        <f>'2022'!M725</f>
        <v>203313.7</v>
      </c>
      <c r="M65" s="553">
        <f>'2022'!N725</f>
        <v>2.1534823885402194E-2</v>
      </c>
    </row>
    <row r="66" spans="2:13" ht="15.75" customHeight="1">
      <c r="B66" s="6"/>
      <c r="C66" s="6"/>
      <c r="E66" s="551" t="str">
        <f>'2022'!D721</f>
        <v>ORÇAMENTO PAGO</v>
      </c>
      <c r="F66" s="552">
        <f>'2022'!G721</f>
        <v>4335219.16</v>
      </c>
      <c r="H66" s="551" t="s">
        <v>1172</v>
      </c>
      <c r="I66" s="552">
        <f>'2022'!G728</f>
        <v>138678.68</v>
      </c>
      <c r="K66" s="552" t="str">
        <f>'2022'!K726</f>
        <v>RECEITAS PRÓPRIAS</v>
      </c>
      <c r="L66" s="552">
        <f>'2022'!M726</f>
        <v>870978.59</v>
      </c>
      <c r="M66" s="553">
        <f>'2022'!N726</f>
        <v>9.2253353038215954E-2</v>
      </c>
    </row>
    <row r="67" spans="2:13" ht="15.75" customHeight="1">
      <c r="B67" s="6"/>
      <c r="C67" s="6"/>
      <c r="E67" s="6"/>
      <c r="F67" s="6"/>
      <c r="H67" s="6"/>
      <c r="I67" s="6"/>
      <c r="K67" s="552" t="str">
        <f>'2022'!K727</f>
        <v>OUTRAS FONTES</v>
      </c>
      <c r="L67" s="552">
        <f>'2022'!M727</f>
        <v>371189.4</v>
      </c>
      <c r="M67" s="553">
        <f>'2022'!N727</f>
        <v>3.9316083260144838E-2</v>
      </c>
    </row>
    <row r="68" spans="2:13" ht="15.75" customHeight="1">
      <c r="B68" s="6"/>
      <c r="C68" s="6"/>
      <c r="E68" s="6"/>
      <c r="F68" s="6"/>
      <c r="H68" s="6"/>
      <c r="I68" s="6"/>
      <c r="K68" s="6"/>
      <c r="L68" s="6"/>
      <c r="M68" s="6"/>
    </row>
    <row r="69" spans="2:13" ht="15.75" customHeight="1">
      <c r="B69" s="6"/>
      <c r="C69" s="6"/>
      <c r="E69" s="6"/>
      <c r="F69" s="6"/>
      <c r="H69" s="6"/>
      <c r="I69" s="6"/>
      <c r="K69" s="6"/>
      <c r="L69" s="6"/>
      <c r="M69" s="6"/>
    </row>
    <row r="70" spans="2:13" ht="15.75" customHeight="1">
      <c r="B70" s="6"/>
      <c r="C70" s="6"/>
      <c r="E70" s="6"/>
      <c r="F70" s="6"/>
      <c r="H70" s="6"/>
      <c r="I70" s="6"/>
      <c r="K70" s="6"/>
      <c r="L70" s="6"/>
      <c r="M70" s="6"/>
    </row>
    <row r="71" spans="2:13" ht="15.75" customHeight="1">
      <c r="B71" s="6"/>
      <c r="C71" s="6"/>
      <c r="E71" s="6"/>
      <c r="F71" s="6"/>
      <c r="H71" s="6"/>
      <c r="I71" s="6"/>
      <c r="K71" s="6"/>
      <c r="L71" s="6"/>
      <c r="M71" s="6"/>
    </row>
    <row r="72" spans="2:13" ht="15.75" customHeight="1">
      <c r="B72" s="6"/>
      <c r="C72" s="6"/>
      <c r="E72" s="6"/>
      <c r="F72" s="6"/>
      <c r="H72" s="6"/>
      <c r="I72" s="6"/>
      <c r="K72" s="6"/>
      <c r="L72" s="6"/>
      <c r="M72" s="6"/>
    </row>
    <row r="73" spans="2:13" ht="15.75" customHeight="1">
      <c r="B73" s="6"/>
      <c r="C73" s="6"/>
      <c r="E73" s="6"/>
      <c r="F73" s="6"/>
      <c r="H73" s="6"/>
      <c r="I73" s="6"/>
      <c r="K73" s="6"/>
      <c r="L73" s="6"/>
      <c r="M73" s="6"/>
    </row>
    <row r="74" spans="2:13" ht="15.75" customHeight="1">
      <c r="B74" s="6"/>
      <c r="C74" s="6"/>
      <c r="E74" s="6"/>
      <c r="F74" s="6"/>
      <c r="H74" s="6"/>
      <c r="I74" s="6"/>
      <c r="K74" s="6"/>
      <c r="L74" s="6"/>
      <c r="M74" s="6"/>
    </row>
    <row r="75" spans="2:13" ht="15.75" customHeight="1">
      <c r="B75" s="6"/>
      <c r="C75" s="6"/>
      <c r="E75" s="6"/>
      <c r="F75" s="6"/>
      <c r="H75" s="6"/>
      <c r="I75" s="6"/>
      <c r="K75" s="6"/>
      <c r="L75" s="6"/>
      <c r="M75" s="6"/>
    </row>
    <row r="76" spans="2:13" ht="15.75" customHeight="1">
      <c r="B76" s="6"/>
      <c r="C76" s="6"/>
      <c r="E76" s="6"/>
      <c r="F76" s="6"/>
      <c r="H76" s="6"/>
      <c r="I76" s="6"/>
      <c r="K76" s="6"/>
      <c r="L76" s="6"/>
      <c r="M76" s="6"/>
    </row>
    <row r="77" spans="2:13" ht="15.75" customHeight="1">
      <c r="B77" s="6"/>
      <c r="C77" s="6"/>
      <c r="E77" s="6"/>
      <c r="F77" s="6"/>
      <c r="H77" s="6"/>
      <c r="I77" s="6"/>
      <c r="K77" s="6"/>
      <c r="L77" s="6"/>
      <c r="M77" s="6"/>
    </row>
    <row r="78" spans="2:13" ht="15.75" customHeight="1">
      <c r="B78" s="6"/>
      <c r="C78" s="6"/>
      <c r="E78" s="6"/>
      <c r="F78" s="6"/>
      <c r="H78" s="6"/>
      <c r="I78" s="6"/>
      <c r="K78" s="6"/>
      <c r="L78" s="6"/>
      <c r="M78" s="6"/>
    </row>
    <row r="79" spans="2:13" ht="15.75" customHeight="1">
      <c r="B79" s="6"/>
      <c r="C79" s="6"/>
      <c r="E79" s="6"/>
      <c r="F79" s="6"/>
      <c r="H79" s="6"/>
      <c r="I79" s="6"/>
      <c r="K79" s="6"/>
      <c r="L79" s="6"/>
      <c r="M79" s="6"/>
    </row>
    <row r="80" spans="2:13" ht="15.75" customHeight="1">
      <c r="B80" s="6"/>
      <c r="C80" s="6"/>
      <c r="E80" s="6"/>
      <c r="F80" s="6"/>
      <c r="H80" s="6"/>
      <c r="I80" s="6"/>
      <c r="K80" s="6"/>
      <c r="L80" s="6"/>
      <c r="M80" s="6"/>
    </row>
    <row r="81" spans="2:15" ht="15.75" customHeight="1">
      <c r="B81" s="6"/>
      <c r="C81" s="6"/>
      <c r="E81" s="6"/>
      <c r="F81" s="6"/>
      <c r="H81" s="6"/>
      <c r="I81" s="6"/>
      <c r="K81" s="6"/>
      <c r="L81" s="6"/>
      <c r="M81" s="6"/>
    </row>
    <row r="82" spans="2:15" ht="15.75" customHeight="1">
      <c r="B82" s="6"/>
      <c r="C82" s="6"/>
      <c r="E82" s="6"/>
      <c r="F82" s="6"/>
      <c r="H82" s="6"/>
      <c r="I82" s="6"/>
      <c r="K82" s="6"/>
      <c r="L82" s="6"/>
      <c r="M82" s="6"/>
    </row>
    <row r="83" spans="2:15" ht="15.75" customHeight="1">
      <c r="B83" s="6"/>
      <c r="C83" s="6"/>
      <c r="E83" s="6"/>
      <c r="F83" s="6"/>
      <c r="H83" s="6"/>
      <c r="I83" s="6"/>
      <c r="K83" s="6"/>
      <c r="L83" s="6"/>
      <c r="M83" s="6"/>
    </row>
    <row r="84" spans="2:15" ht="15.75" customHeight="1">
      <c r="B84" s="6"/>
      <c r="C84" s="6"/>
      <c r="E84" s="6"/>
      <c r="F84" s="6"/>
      <c r="H84" s="6"/>
      <c r="I84" s="6"/>
      <c r="K84" s="6"/>
      <c r="L84" s="6"/>
      <c r="M84" s="6"/>
    </row>
    <row r="85" spans="2:15" ht="15.75" customHeight="1">
      <c r="B85" s="6"/>
      <c r="C85" s="6"/>
      <c r="E85" s="6"/>
      <c r="F85" s="6"/>
      <c r="H85" s="6"/>
      <c r="I85" s="6"/>
      <c r="K85" s="6"/>
      <c r="L85" s="6"/>
      <c r="M85" s="6"/>
    </row>
    <row r="86" spans="2:15" ht="15.75" customHeight="1"/>
    <row r="87" spans="2:15" ht="15.75" customHeight="1"/>
    <row r="88" spans="2:15" ht="15.75" customHeight="1">
      <c r="K88" s="617" t="s">
        <v>1173</v>
      </c>
      <c r="L88" s="618"/>
      <c r="M88" s="529">
        <f>'2022'!$C$2</f>
        <v>2022</v>
      </c>
      <c r="N88" s="556"/>
      <c r="O88" s="556"/>
    </row>
    <row r="89" spans="2:15" ht="15.75" customHeight="1">
      <c r="K89" s="557"/>
      <c r="L89" s="558" t="s">
        <v>1174</v>
      </c>
      <c r="M89" s="558" t="s">
        <v>1175</v>
      </c>
      <c r="N89" s="556"/>
      <c r="O89" s="556"/>
    </row>
    <row r="90" spans="2:15" ht="15.75" customHeight="1">
      <c r="K90" s="559" t="s">
        <v>1115</v>
      </c>
      <c r="L90" s="560">
        <f>'2022'!G718</f>
        <v>5262003.49</v>
      </c>
      <c r="M90" s="560">
        <f>'2022'!O723</f>
        <v>4585961.1399999997</v>
      </c>
      <c r="N90" s="556"/>
      <c r="O90" s="556"/>
    </row>
    <row r="91" spans="2:15" ht="15.75" customHeight="1">
      <c r="K91" s="559" t="s">
        <v>636</v>
      </c>
      <c r="L91" s="560">
        <f>'2022'!M724</f>
        <v>2733673.99</v>
      </c>
      <c r="M91" s="560">
        <f>'2022'!O724</f>
        <v>2733673.99</v>
      </c>
      <c r="N91" s="556"/>
      <c r="O91" s="556"/>
    </row>
    <row r="92" spans="2:15" ht="15.75" customHeight="1">
      <c r="K92" s="559" t="s">
        <v>753</v>
      </c>
      <c r="L92" s="560">
        <f>'2022'!M725</f>
        <v>203313.7</v>
      </c>
      <c r="M92" s="560">
        <f>'2022'!O725</f>
        <v>203313.7</v>
      </c>
      <c r="N92" s="556"/>
      <c r="O92" s="556"/>
    </row>
    <row r="93" spans="2:15" ht="15.75" customHeight="1">
      <c r="K93" s="559" t="s">
        <v>1134</v>
      </c>
      <c r="L93" s="560">
        <f>'2022'!M726</f>
        <v>870978.59</v>
      </c>
      <c r="M93" s="560">
        <f>'2022'!O726</f>
        <v>870978.59</v>
      </c>
      <c r="N93" s="556"/>
      <c r="O93" s="556"/>
    </row>
    <row r="94" spans="2:15" ht="15.75" customHeight="1">
      <c r="K94" s="559" t="s">
        <v>1140</v>
      </c>
      <c r="L94" s="560">
        <f>'2022'!M727</f>
        <v>371189.4</v>
      </c>
      <c r="M94" s="560">
        <f>'2022'!O727</f>
        <v>371189.4</v>
      </c>
      <c r="N94" s="556"/>
      <c r="O94" s="556"/>
    </row>
    <row r="95" spans="2:15" ht="15.75" customHeight="1">
      <c r="K95" s="561"/>
      <c r="L95" s="561"/>
      <c r="M95" s="561"/>
      <c r="N95" s="556"/>
      <c r="O95" s="556"/>
    </row>
    <row r="96" spans="2:15" ht="15.75" customHeight="1">
      <c r="K96" s="562"/>
      <c r="L96" s="561"/>
      <c r="M96" s="561"/>
      <c r="N96" s="556"/>
      <c r="O96" s="556"/>
    </row>
    <row r="97" spans="9:15" ht="15.75" customHeight="1">
      <c r="K97" s="561"/>
      <c r="L97" s="561"/>
      <c r="M97" s="561"/>
      <c r="N97" s="556"/>
      <c r="O97" s="556"/>
    </row>
    <row r="98" spans="9:15" ht="15.75" customHeight="1">
      <c r="K98" s="561"/>
      <c r="L98" s="561"/>
      <c r="M98" s="561"/>
      <c r="N98" s="556"/>
      <c r="O98" s="556"/>
    </row>
    <row r="99" spans="9:15" ht="15.75" customHeight="1">
      <c r="K99" s="561"/>
      <c r="L99" s="561"/>
      <c r="M99" s="561"/>
      <c r="N99" s="556"/>
      <c r="O99" s="556"/>
    </row>
    <row r="100" spans="9:15" ht="15.75" customHeight="1">
      <c r="K100" s="561"/>
      <c r="L100" s="561"/>
      <c r="M100" s="561"/>
      <c r="N100" s="556"/>
      <c r="O100" s="556"/>
    </row>
    <row r="101" spans="9:15" ht="15.75" customHeight="1">
      <c r="K101" s="561"/>
      <c r="L101" s="561"/>
      <c r="M101" s="561"/>
      <c r="N101" s="556"/>
      <c r="O101" s="556"/>
    </row>
    <row r="102" spans="9:15" ht="15.75" customHeight="1">
      <c r="K102" s="561"/>
      <c r="L102" s="561"/>
      <c r="M102" s="561"/>
      <c r="N102" s="556"/>
      <c r="O102" s="556"/>
    </row>
    <row r="103" spans="9:15" ht="15.75" customHeight="1">
      <c r="K103" s="561"/>
      <c r="L103" s="561"/>
      <c r="M103" s="561"/>
      <c r="N103" s="556"/>
      <c r="O103" s="556"/>
    </row>
    <row r="104" spans="9:15" ht="15.75" customHeight="1">
      <c r="K104" s="561"/>
      <c r="L104" s="561"/>
      <c r="M104" s="561"/>
      <c r="N104" s="556"/>
      <c r="O104" s="556"/>
    </row>
    <row r="105" spans="9:15" ht="15.75" customHeight="1">
      <c r="K105" s="561"/>
      <c r="L105" s="561"/>
      <c r="M105" s="561"/>
      <c r="N105" s="556"/>
      <c r="O105" s="556"/>
    </row>
    <row r="106" spans="9:15" ht="15.75" customHeight="1">
      <c r="K106" s="561"/>
      <c r="L106" s="561"/>
      <c r="M106" s="561"/>
      <c r="N106" s="556"/>
      <c r="O106" s="556"/>
    </row>
    <row r="107" spans="9:15" ht="15.75" customHeight="1">
      <c r="K107" s="561"/>
      <c r="L107" s="561"/>
      <c r="M107" s="561"/>
      <c r="N107" s="556"/>
      <c r="O107" s="556"/>
    </row>
    <row r="108" spans="9:15" ht="15.75" customHeight="1">
      <c r="K108" s="561"/>
      <c r="L108" s="561"/>
      <c r="M108" s="561"/>
      <c r="N108" s="556"/>
      <c r="O108" s="556"/>
    </row>
    <row r="109" spans="9:15" ht="15.75" customHeight="1">
      <c r="K109" s="561"/>
      <c r="L109" s="561"/>
      <c r="M109" s="561"/>
      <c r="N109" s="556"/>
      <c r="O109" s="556"/>
    </row>
    <row r="110" spans="9:15" ht="15.75" customHeight="1">
      <c r="I110" s="193"/>
      <c r="K110" s="561"/>
      <c r="L110" s="561"/>
      <c r="M110" s="561"/>
      <c r="N110" s="556"/>
      <c r="O110" s="556"/>
    </row>
    <row r="111" spans="9:15" ht="15.75" customHeight="1">
      <c r="K111" s="561"/>
      <c r="L111" s="561"/>
      <c r="M111" s="561"/>
      <c r="N111" s="556"/>
      <c r="O111" s="556"/>
    </row>
    <row r="112" spans="9:15" ht="15.75" customHeight="1">
      <c r="K112" s="561"/>
      <c r="L112" s="561"/>
      <c r="M112" s="561"/>
      <c r="N112" s="556"/>
      <c r="O112" s="556"/>
    </row>
    <row r="113" spans="8:15" ht="15.75" customHeight="1">
      <c r="K113" s="556"/>
      <c r="L113" s="556"/>
      <c r="M113" s="556"/>
      <c r="N113" s="556"/>
      <c r="O113" s="556"/>
    </row>
    <row r="114" spans="8:15" ht="15.75" customHeight="1">
      <c r="K114" s="556"/>
      <c r="L114" s="556"/>
      <c r="M114" s="556"/>
      <c r="N114" s="556"/>
      <c r="O114" s="556"/>
    </row>
    <row r="115" spans="8:15" ht="15.75" customHeight="1">
      <c r="H115" s="563" t="s">
        <v>1176</v>
      </c>
      <c r="I115" s="529">
        <f>'2022'!$C$2</f>
        <v>2022</v>
      </c>
      <c r="K115" s="617" t="s">
        <v>1177</v>
      </c>
      <c r="L115" s="618"/>
      <c r="M115" s="618"/>
      <c r="N115" s="529">
        <f>'2022'!$C$2</f>
        <v>2022</v>
      </c>
      <c r="O115" s="556"/>
    </row>
    <row r="116" spans="8:15" ht="15.75" customHeight="1">
      <c r="H116" s="564"/>
      <c r="I116" s="565" t="s">
        <v>1178</v>
      </c>
      <c r="K116" s="557"/>
      <c r="L116" s="558" t="s">
        <v>1179</v>
      </c>
      <c r="M116" s="558" t="s">
        <v>1180</v>
      </c>
      <c r="N116" s="558" t="s">
        <v>1181</v>
      </c>
      <c r="O116" s="556"/>
    </row>
    <row r="117" spans="8:15" ht="15.75" customHeight="1">
      <c r="H117" s="566" t="s">
        <v>1182</v>
      </c>
      <c r="I117" s="567">
        <f>'2022'!BT3</f>
        <v>475817.7</v>
      </c>
      <c r="K117" s="568" t="s">
        <v>1115</v>
      </c>
      <c r="L117" s="569">
        <f t="shared" ref="L117:L121" si="0">M90</f>
        <v>4585961.1399999997</v>
      </c>
      <c r="M117" s="569">
        <f>'2022'!BK3</f>
        <v>4335219.16</v>
      </c>
      <c r="N117" s="569">
        <f t="shared" ref="N117:N121" si="1">L117-M117</f>
        <v>250741.97999999952</v>
      </c>
      <c r="O117" s="556"/>
    </row>
    <row r="118" spans="8:15" ht="15.75" customHeight="1">
      <c r="H118" s="566" t="s">
        <v>1183</v>
      </c>
      <c r="I118" s="567">
        <f>'2022'!BU3</f>
        <v>166655.53999890015</v>
      </c>
      <c r="K118" s="568" t="s">
        <v>636</v>
      </c>
      <c r="L118" s="569">
        <f t="shared" si="0"/>
        <v>2733673.99</v>
      </c>
      <c r="M118" s="569">
        <f>'2022'!BM338-'2022'!BM424-'2022'!BM352</f>
        <v>2449470.0000010002</v>
      </c>
      <c r="N118" s="569">
        <f t="shared" si="1"/>
        <v>284203.98999899998</v>
      </c>
      <c r="O118" s="556"/>
    </row>
    <row r="119" spans="8:15" ht="15.75" customHeight="1">
      <c r="H119" s="566" t="s">
        <v>1184</v>
      </c>
      <c r="I119" s="567">
        <f>'2022'!BV3</f>
        <v>1068039.06</v>
      </c>
      <c r="K119" s="568" t="s">
        <v>753</v>
      </c>
      <c r="L119" s="569">
        <f t="shared" si="0"/>
        <v>203313.7</v>
      </c>
      <c r="M119" s="569">
        <f>'2022'!BM424</f>
        <v>133053.9</v>
      </c>
      <c r="N119" s="569">
        <f t="shared" si="1"/>
        <v>70259.800000000017</v>
      </c>
      <c r="O119" s="556"/>
    </row>
    <row r="120" spans="8:15" ht="15.75" customHeight="1">
      <c r="H120" s="570" t="s">
        <v>1185</v>
      </c>
      <c r="I120" s="571">
        <f>SUM(I117:I119)</f>
        <v>1710512.2999989002</v>
      </c>
      <c r="K120" s="568" t="s">
        <v>1134</v>
      </c>
      <c r="L120" s="572">
        <f t="shared" si="0"/>
        <v>870978.59</v>
      </c>
      <c r="M120" s="572">
        <f>'2022'!BM150+'2022'!BM268+'2022'!BM352+'2022'!BM505+'2022'!BM689</f>
        <v>612679.16</v>
      </c>
      <c r="N120" s="569">
        <f t="shared" si="1"/>
        <v>258299.42999999993</v>
      </c>
      <c r="O120" s="556"/>
    </row>
    <row r="121" spans="8:15" ht="15.75" customHeight="1">
      <c r="H121" s="564"/>
      <c r="I121" s="564"/>
      <c r="K121" s="568" t="s">
        <v>1140</v>
      </c>
      <c r="L121" s="572">
        <f t="shared" si="0"/>
        <v>371189.4</v>
      </c>
      <c r="M121" s="572">
        <f>'2022'!BM263+'2022'!BM266+'2022'!BM670+'2022'!BM685</f>
        <v>9.9999999999999995E-8</v>
      </c>
      <c r="N121" s="569">
        <f t="shared" si="1"/>
        <v>371189.39999990002</v>
      </c>
      <c r="O121" s="556"/>
    </row>
    <row r="122" spans="8:15" ht="15.75" customHeight="1">
      <c r="H122" s="564"/>
      <c r="I122" s="564"/>
      <c r="K122" s="570" t="s">
        <v>1185</v>
      </c>
      <c r="L122" s="573">
        <f t="shared" ref="L122:N122" si="2">SUM(L117:L121)</f>
        <v>8765116.8200000003</v>
      </c>
      <c r="M122" s="573">
        <f t="shared" si="2"/>
        <v>7530422.2200011006</v>
      </c>
      <c r="N122" s="573">
        <f t="shared" si="2"/>
        <v>1234694.5999988995</v>
      </c>
      <c r="O122" s="556"/>
    </row>
    <row r="123" spans="8:15" ht="15.75" customHeight="1">
      <c r="H123" s="564"/>
      <c r="I123" s="564"/>
      <c r="K123" s="561"/>
      <c r="L123" s="561"/>
      <c r="M123" s="561"/>
      <c r="N123" s="561"/>
      <c r="O123" s="556"/>
    </row>
    <row r="124" spans="8:15" ht="15.75" customHeight="1">
      <c r="H124" s="564"/>
      <c r="I124" s="564"/>
      <c r="K124" s="562"/>
      <c r="L124" s="561"/>
      <c r="M124" s="561"/>
      <c r="N124" s="561"/>
      <c r="O124" s="556"/>
    </row>
    <row r="125" spans="8:15" ht="15.75" customHeight="1">
      <c r="H125" s="564"/>
      <c r="I125" s="564"/>
      <c r="K125" s="561"/>
      <c r="L125" s="561"/>
      <c r="M125" s="561"/>
      <c r="N125" s="561"/>
      <c r="O125" s="556"/>
    </row>
    <row r="126" spans="8:15" ht="15.75" customHeight="1">
      <c r="H126" s="564"/>
      <c r="I126" s="564"/>
      <c r="K126" s="561"/>
      <c r="L126" s="561"/>
      <c r="M126" s="561"/>
      <c r="N126" s="561"/>
      <c r="O126" s="556"/>
    </row>
    <row r="127" spans="8:15" ht="15.75" customHeight="1">
      <c r="H127" s="564"/>
      <c r="I127" s="564"/>
      <c r="K127" s="561"/>
      <c r="L127" s="561"/>
      <c r="M127" s="561"/>
      <c r="N127" s="561"/>
      <c r="O127" s="556"/>
    </row>
    <row r="128" spans="8:15" ht="15.75" customHeight="1">
      <c r="H128" s="564"/>
      <c r="I128" s="564"/>
      <c r="K128" s="561"/>
      <c r="L128" s="561"/>
      <c r="M128" s="561"/>
      <c r="N128" s="561"/>
      <c r="O128" s="556"/>
    </row>
    <row r="129" spans="8:15" ht="15.75" customHeight="1">
      <c r="H129" s="564"/>
      <c r="I129" s="564"/>
      <c r="K129" s="561"/>
      <c r="L129" s="561"/>
      <c r="M129" s="561"/>
      <c r="N129" s="561"/>
      <c r="O129" s="556"/>
    </row>
    <row r="130" spans="8:15" ht="15.75" customHeight="1">
      <c r="H130" s="564"/>
      <c r="I130" s="564"/>
      <c r="K130" s="561"/>
      <c r="L130" s="561"/>
      <c r="M130" s="561"/>
      <c r="N130" s="561"/>
      <c r="O130" s="556"/>
    </row>
    <row r="131" spans="8:15" ht="15.75" customHeight="1">
      <c r="H131" s="564"/>
      <c r="I131" s="564"/>
      <c r="K131" s="561"/>
      <c r="L131" s="561"/>
      <c r="M131" s="561"/>
      <c r="N131" s="561"/>
      <c r="O131" s="556"/>
    </row>
    <row r="132" spans="8:15" ht="15.75" customHeight="1">
      <c r="H132" s="564"/>
      <c r="I132" s="564"/>
      <c r="K132" s="561"/>
      <c r="L132" s="561"/>
      <c r="M132" s="561"/>
      <c r="N132" s="561"/>
      <c r="O132" s="556"/>
    </row>
    <row r="133" spans="8:15" ht="15.75" customHeight="1">
      <c r="H133" s="564"/>
      <c r="I133" s="564"/>
      <c r="K133" s="561"/>
      <c r="L133" s="561"/>
      <c r="M133" s="561"/>
      <c r="N133" s="561"/>
      <c r="O133" s="556"/>
    </row>
    <row r="134" spans="8:15" ht="15.75" customHeight="1">
      <c r="H134" s="564"/>
      <c r="I134" s="564"/>
      <c r="K134" s="561"/>
      <c r="L134" s="561"/>
      <c r="M134" s="561"/>
      <c r="N134" s="561"/>
      <c r="O134" s="556"/>
    </row>
    <row r="135" spans="8:15" ht="15.75" customHeight="1">
      <c r="H135" s="564"/>
      <c r="I135" s="564"/>
      <c r="K135" s="561"/>
      <c r="L135" s="561"/>
      <c r="M135" s="561"/>
      <c r="N135" s="561"/>
      <c r="O135" s="556"/>
    </row>
    <row r="136" spans="8:15" ht="15.75" customHeight="1">
      <c r="H136" s="564"/>
      <c r="I136" s="564"/>
      <c r="K136" s="561"/>
      <c r="L136" s="561"/>
      <c r="M136" s="561"/>
      <c r="N136" s="561"/>
      <c r="O136" s="556"/>
    </row>
    <row r="137" spans="8:15" ht="15.75" customHeight="1">
      <c r="H137" s="564"/>
      <c r="I137" s="564"/>
      <c r="K137" s="561"/>
      <c r="L137" s="561"/>
      <c r="M137" s="561"/>
      <c r="N137" s="561"/>
      <c r="O137" s="556"/>
    </row>
    <row r="138" spans="8:15" ht="15.75" customHeight="1">
      <c r="H138" s="564"/>
      <c r="I138" s="564"/>
      <c r="K138" s="561"/>
      <c r="L138" s="561"/>
      <c r="M138" s="561"/>
      <c r="N138" s="561"/>
      <c r="O138" s="556"/>
    </row>
    <row r="139" spans="8:15" ht="15.75" customHeight="1">
      <c r="H139" s="564"/>
      <c r="I139" s="564"/>
      <c r="K139" s="561"/>
      <c r="L139" s="561"/>
      <c r="M139" s="561"/>
      <c r="N139" s="561"/>
      <c r="O139" s="556"/>
    </row>
    <row r="140" spans="8:15" ht="15.75" customHeight="1">
      <c r="K140" s="556"/>
      <c r="L140" s="556"/>
      <c r="M140" s="556"/>
      <c r="N140" s="556"/>
      <c r="O140" s="556"/>
    </row>
    <row r="141" spans="8:15" ht="15.75" customHeight="1">
      <c r="K141" s="556"/>
      <c r="L141" s="556"/>
      <c r="M141" s="556"/>
      <c r="N141" s="556"/>
      <c r="O141" s="556"/>
    </row>
    <row r="142" spans="8:15" ht="15.75" customHeight="1">
      <c r="K142" s="617" t="s">
        <v>1186</v>
      </c>
      <c r="L142" s="618"/>
      <c r="M142" s="618"/>
      <c r="N142" s="529">
        <f>'2022'!$C$2</f>
        <v>2022</v>
      </c>
      <c r="O142" s="556"/>
    </row>
    <row r="143" spans="8:15" ht="15.75" customHeight="1">
      <c r="K143" s="557"/>
      <c r="L143" s="558" t="s">
        <v>1187</v>
      </c>
      <c r="M143" s="558" t="s">
        <v>1188</v>
      </c>
      <c r="N143" s="558" t="s">
        <v>114</v>
      </c>
      <c r="O143" s="556"/>
    </row>
    <row r="144" spans="8:15" ht="15.75" customHeight="1">
      <c r="K144" s="559" t="s">
        <v>1115</v>
      </c>
      <c r="L144" s="560">
        <f>'2022'!S3-L145-L146-L147-L148</f>
        <v>1536528.86</v>
      </c>
      <c r="M144" s="560">
        <f t="shared" ref="M144:M148" si="3">M117</f>
        <v>4335219.16</v>
      </c>
      <c r="N144" s="560">
        <f t="shared" ref="N144:N149" si="4">SUM(L144:M144)</f>
        <v>5871748.0200000005</v>
      </c>
      <c r="O144" s="556"/>
    </row>
    <row r="145" spans="11:15" ht="15.75" customHeight="1">
      <c r="K145" s="559" t="s">
        <v>636</v>
      </c>
      <c r="L145" s="560">
        <f>'2022'!S338-'2022'!S424-'2022'!S352</f>
        <v>1342624.9000000001</v>
      </c>
      <c r="M145" s="560">
        <f t="shared" si="3"/>
        <v>2449470.0000010002</v>
      </c>
      <c r="N145" s="560">
        <f t="shared" si="4"/>
        <v>3792094.9000010006</v>
      </c>
      <c r="O145" s="556"/>
    </row>
    <row r="146" spans="11:15" ht="15.75" customHeight="1">
      <c r="K146" s="559" t="s">
        <v>753</v>
      </c>
      <c r="L146" s="560">
        <f>'2022'!S424</f>
        <v>223827.55</v>
      </c>
      <c r="M146" s="560">
        <f t="shared" si="3"/>
        <v>133053.9</v>
      </c>
      <c r="N146" s="560">
        <f t="shared" si="4"/>
        <v>356881.44999999995</v>
      </c>
      <c r="O146" s="556"/>
    </row>
    <row r="147" spans="11:15" ht="15.75" customHeight="1">
      <c r="K147" s="570" t="s">
        <v>1134</v>
      </c>
      <c r="L147" s="560">
        <f>'2022'!S150+'2022'!S268+'2022'!S352+'2022'!S505+'2022'!S689</f>
        <v>31148.26</v>
      </c>
      <c r="M147" s="560">
        <f t="shared" si="3"/>
        <v>612679.16</v>
      </c>
      <c r="N147" s="560">
        <f t="shared" si="4"/>
        <v>643827.42000000004</v>
      </c>
      <c r="O147" s="556"/>
    </row>
    <row r="148" spans="11:15" ht="15.75" customHeight="1">
      <c r="K148" s="559" t="s">
        <v>1140</v>
      </c>
      <c r="L148" s="574">
        <f>'2022'!S263+'2022'!S266+'2022'!S670+'2022'!S685</f>
        <v>109523</v>
      </c>
      <c r="M148" s="574">
        <f t="shared" si="3"/>
        <v>9.9999999999999995E-8</v>
      </c>
      <c r="N148" s="560">
        <f t="shared" si="4"/>
        <v>109523.0000001</v>
      </c>
      <c r="O148" s="556"/>
    </row>
    <row r="149" spans="11:15" ht="15.75" customHeight="1">
      <c r="K149" s="570" t="s">
        <v>1185</v>
      </c>
      <c r="L149" s="573">
        <f t="shared" ref="L149:M149" si="5">SUM(L144:L148)</f>
        <v>3243652.57</v>
      </c>
      <c r="M149" s="573">
        <f t="shared" si="5"/>
        <v>7530422.2200011006</v>
      </c>
      <c r="N149" s="560">
        <f t="shared" si="4"/>
        <v>10774074.7900011</v>
      </c>
      <c r="O149" s="556"/>
    </row>
    <row r="150" spans="11:15" ht="15.75" customHeight="1">
      <c r="K150" s="561"/>
      <c r="L150" s="561"/>
      <c r="M150" s="561"/>
      <c r="N150" s="561"/>
      <c r="O150" s="556"/>
    </row>
    <row r="151" spans="11:15" ht="15.75" customHeight="1">
      <c r="K151" s="562"/>
      <c r="L151" s="561"/>
      <c r="M151" s="561"/>
      <c r="N151" s="561"/>
      <c r="O151" s="556"/>
    </row>
    <row r="152" spans="11:15" ht="15.75" customHeight="1">
      <c r="K152" s="561"/>
      <c r="L152" s="561"/>
      <c r="M152" s="561"/>
      <c r="N152" s="561"/>
      <c r="O152" s="556"/>
    </row>
    <row r="153" spans="11:15" ht="15.75" customHeight="1">
      <c r="K153" s="561"/>
      <c r="L153" s="561"/>
      <c r="M153" s="561"/>
      <c r="N153" s="561"/>
      <c r="O153" s="556"/>
    </row>
    <row r="154" spans="11:15" ht="15.75" customHeight="1">
      <c r="K154" s="561"/>
      <c r="L154" s="561"/>
      <c r="M154" s="561"/>
      <c r="N154" s="561"/>
      <c r="O154" s="556"/>
    </row>
    <row r="155" spans="11:15" ht="15.75" customHeight="1">
      <c r="K155" s="561"/>
      <c r="L155" s="561"/>
      <c r="M155" s="561"/>
      <c r="N155" s="561"/>
      <c r="O155" s="556"/>
    </row>
    <row r="156" spans="11:15" ht="15.75" customHeight="1">
      <c r="K156" s="561"/>
      <c r="L156" s="561"/>
      <c r="M156" s="561"/>
      <c r="N156" s="561"/>
      <c r="O156" s="556"/>
    </row>
    <row r="157" spans="11:15" ht="15.75" customHeight="1">
      <c r="K157" s="561"/>
      <c r="L157" s="561"/>
      <c r="M157" s="561"/>
      <c r="N157" s="561"/>
      <c r="O157" s="556"/>
    </row>
    <row r="158" spans="11:15" ht="15.75" customHeight="1">
      <c r="K158" s="561"/>
      <c r="L158" s="561"/>
      <c r="M158" s="561"/>
      <c r="N158" s="561"/>
      <c r="O158" s="556"/>
    </row>
    <row r="159" spans="11:15" ht="15.75" customHeight="1">
      <c r="K159" s="561"/>
      <c r="L159" s="561"/>
      <c r="M159" s="561"/>
      <c r="N159" s="561"/>
      <c r="O159" s="556"/>
    </row>
    <row r="160" spans="11:15" ht="15.75" customHeight="1">
      <c r="K160" s="561"/>
      <c r="L160" s="561"/>
      <c r="M160" s="561"/>
      <c r="N160" s="561"/>
      <c r="O160" s="556"/>
    </row>
    <row r="161" spans="8:15" ht="15.75" customHeight="1">
      <c r="K161" s="561"/>
      <c r="L161" s="561"/>
      <c r="M161" s="561"/>
      <c r="N161" s="561"/>
      <c r="O161" s="556"/>
    </row>
    <row r="162" spans="8:15" ht="15.75" customHeight="1">
      <c r="K162" s="561"/>
      <c r="L162" s="561"/>
      <c r="M162" s="561"/>
      <c r="N162" s="561"/>
      <c r="O162" s="556"/>
    </row>
    <row r="163" spans="8:15" ht="15.75" customHeight="1">
      <c r="K163" s="561"/>
      <c r="L163" s="561"/>
      <c r="M163" s="561"/>
      <c r="N163" s="561"/>
      <c r="O163" s="556"/>
    </row>
    <row r="164" spans="8:15" ht="15.75" customHeight="1">
      <c r="K164" s="561"/>
      <c r="L164" s="561"/>
      <c r="M164" s="561"/>
      <c r="N164" s="561"/>
      <c r="O164" s="556"/>
    </row>
    <row r="165" spans="8:15" ht="15.75" customHeight="1">
      <c r="K165" s="561"/>
      <c r="L165" s="561"/>
      <c r="M165" s="561"/>
      <c r="N165" s="561"/>
      <c r="O165" s="556"/>
    </row>
    <row r="166" spans="8:15" ht="15.75" customHeight="1">
      <c r="K166" s="561"/>
      <c r="L166" s="561"/>
      <c r="M166" s="561"/>
      <c r="N166" s="561"/>
      <c r="O166" s="556"/>
    </row>
    <row r="167" spans="8:15" ht="15.75" customHeight="1">
      <c r="K167" s="556"/>
      <c r="L167" s="556"/>
      <c r="M167" s="556"/>
      <c r="N167" s="556"/>
      <c r="O167" s="556"/>
    </row>
    <row r="168" spans="8:15" ht="15.75" customHeight="1">
      <c r="K168" s="556"/>
      <c r="L168" s="556"/>
      <c r="M168" s="556"/>
      <c r="N168" s="556"/>
      <c r="O168" s="556"/>
    </row>
    <row r="169" spans="8:15" ht="15.75" customHeight="1">
      <c r="H169" s="563" t="s">
        <v>1189</v>
      </c>
      <c r="I169" s="529">
        <f>'2022'!$C$2</f>
        <v>2022</v>
      </c>
      <c r="K169" s="617" t="s">
        <v>1190</v>
      </c>
      <c r="L169" s="618"/>
      <c r="M169" s="618"/>
      <c r="N169" s="529">
        <f>'2022'!$C$2</f>
        <v>2022</v>
      </c>
      <c r="O169" s="556"/>
    </row>
    <row r="170" spans="8:15" ht="15.75" customHeight="1">
      <c r="H170" s="564"/>
      <c r="I170" s="565" t="s">
        <v>1178</v>
      </c>
      <c r="K170" s="557"/>
      <c r="L170" s="558" t="s">
        <v>1187</v>
      </c>
      <c r="M170" s="558" t="s">
        <v>1188</v>
      </c>
      <c r="N170" s="558" t="s">
        <v>114</v>
      </c>
      <c r="O170" s="556"/>
    </row>
    <row r="171" spans="8:15" ht="15.75" customHeight="1">
      <c r="H171" s="570" t="str">
        <f>'2022'!$D$736</f>
        <v>Díarias e Passagens</v>
      </c>
      <c r="I171" s="567">
        <f>'2022'!BW736</f>
        <v>2.2737367544323206E-13</v>
      </c>
      <c r="K171" s="570" t="str">
        <f>'2022'!$D$736</f>
        <v>Díarias e Passagens</v>
      </c>
      <c r="L171" s="560">
        <f>'2022'!S736</f>
        <v>0</v>
      </c>
      <c r="M171" s="560">
        <f>'2022'!R736+'2022'!T736</f>
        <v>64209.7</v>
      </c>
      <c r="N171" s="560">
        <f t="shared" ref="N171:N182" si="6">SUM(L171:M171)</f>
        <v>64209.7</v>
      </c>
      <c r="O171" s="556"/>
    </row>
    <row r="172" spans="8:15" ht="15.75" customHeight="1">
      <c r="H172" s="570" t="str">
        <f>'2022'!$D$737</f>
        <v>Auxílios Financeiros a Estudantes</v>
      </c>
      <c r="I172" s="567">
        <f>'2022'!BW737</f>
        <v>0</v>
      </c>
      <c r="K172" s="570" t="str">
        <f>'2022'!$D$737</f>
        <v>Auxílios Financeiros a Estudantes</v>
      </c>
      <c r="L172" s="560">
        <f>'2022'!S737</f>
        <v>0</v>
      </c>
      <c r="M172" s="560">
        <f>'2022'!R737+'2022'!T737</f>
        <v>972167</v>
      </c>
      <c r="N172" s="560">
        <f t="shared" si="6"/>
        <v>972167</v>
      </c>
      <c r="O172" s="556"/>
    </row>
    <row r="173" spans="8:15" ht="15.75" customHeight="1">
      <c r="H173" s="570" t="str">
        <f>'2022'!$D$738</f>
        <v>Material de Consumo</v>
      </c>
      <c r="I173" s="567">
        <f>'2022'!BW738</f>
        <v>446716.57</v>
      </c>
      <c r="K173" s="570" t="str">
        <f>'2022'!$D$738</f>
        <v>Material de Consumo</v>
      </c>
      <c r="L173" s="560">
        <f>'2022'!S738</f>
        <v>998631.58000000019</v>
      </c>
      <c r="M173" s="560">
        <f>'2022'!R738+'2022'!T738</f>
        <v>1577833.05</v>
      </c>
      <c r="N173" s="560">
        <f t="shared" si="6"/>
        <v>2576464.6300000004</v>
      </c>
      <c r="O173" s="556"/>
    </row>
    <row r="174" spans="8:15" ht="15.75" customHeight="1">
      <c r="H174" s="570" t="str">
        <f>'2022'!$D$739</f>
        <v>Serviços Pessoa Física</v>
      </c>
      <c r="I174" s="567">
        <f>'2022'!BW739</f>
        <v>1.4551915228366852E-11</v>
      </c>
      <c r="K174" s="570" t="str">
        <f>'2022'!$D$739</f>
        <v>Serviços Pessoa Física</v>
      </c>
      <c r="L174" s="560">
        <f>'2022'!S739</f>
        <v>0</v>
      </c>
      <c r="M174" s="560">
        <f>'2022'!R739+'2022'!T739</f>
        <v>100371.5</v>
      </c>
      <c r="N174" s="560">
        <f t="shared" si="6"/>
        <v>100371.5</v>
      </c>
      <c r="O174" s="556"/>
    </row>
    <row r="175" spans="8:15">
      <c r="H175" s="575" t="str">
        <f>'2022'!$D$740</f>
        <v>Serviços Terceirizados com Mão de Obra</v>
      </c>
      <c r="I175" s="567">
        <f>'2022'!BW740</f>
        <v>284644.5400000001</v>
      </c>
      <c r="K175" s="575" t="str">
        <f>'2022'!$D$740</f>
        <v>Serviços Terceirizados com Mão de Obra</v>
      </c>
      <c r="L175" s="560">
        <f>'2022'!S740</f>
        <v>370775.03999999998</v>
      </c>
      <c r="M175" s="560">
        <f>'2022'!R740+'2022'!T740</f>
        <v>3200335.01</v>
      </c>
      <c r="N175" s="560">
        <f t="shared" si="6"/>
        <v>3571110.05</v>
      </c>
      <c r="O175" s="556"/>
    </row>
    <row r="176" spans="8:15" ht="15.75" customHeight="1">
      <c r="H176" s="570" t="str">
        <f>'2022'!$D$741</f>
        <v>Serviços Terceirizados por Demanda</v>
      </c>
      <c r="I176" s="567">
        <f>'2022'!BW741</f>
        <v>277292.30999900005</v>
      </c>
      <c r="K176" s="570" t="str">
        <f>'2022'!$D$741</f>
        <v>Serviços Terceirizados por Demanda</v>
      </c>
      <c r="L176" s="560">
        <f>'2022'!S741</f>
        <v>848180.34</v>
      </c>
      <c r="M176" s="560">
        <f>'2022'!R741+'2022'!T741</f>
        <v>789710.79000099993</v>
      </c>
      <c r="N176" s="560">
        <f t="shared" si="6"/>
        <v>1637891.1300009999</v>
      </c>
      <c r="O176" s="556"/>
    </row>
    <row r="177" spans="8:15" ht="15.75" customHeight="1">
      <c r="H177" s="570" t="str">
        <f>'2022'!$D$742</f>
        <v>Serviços de Energia Elétrica</v>
      </c>
      <c r="I177" s="567">
        <f>'2022'!BW742</f>
        <v>43586.670000000013</v>
      </c>
      <c r="K177" s="570" t="str">
        <f>'2022'!$D$742</f>
        <v>Serviços de Energia Elétrica</v>
      </c>
      <c r="L177" s="560">
        <f>'2022'!S742</f>
        <v>235542.61</v>
      </c>
      <c r="M177" s="560">
        <f>'2022'!R742+'2022'!T742</f>
        <v>298364.04000000004</v>
      </c>
      <c r="N177" s="560">
        <f t="shared" si="6"/>
        <v>533906.65</v>
      </c>
      <c r="O177" s="556"/>
    </row>
    <row r="178" spans="8:15">
      <c r="H178" s="575" t="str">
        <f>'2022'!$D$743</f>
        <v>Serviços de Tecnologia da Informação</v>
      </c>
      <c r="I178" s="567">
        <f>'2022'!BW743</f>
        <v>28916.300000000003</v>
      </c>
      <c r="K178" s="575" t="str">
        <f>'2022'!$D$743</f>
        <v>Serviços de Tecnologia da Informação</v>
      </c>
      <c r="L178" s="560">
        <f>'2022'!S743</f>
        <v>38612.710000000006</v>
      </c>
      <c r="M178" s="560">
        <f>'2022'!R743+'2022'!T743</f>
        <v>143298.62</v>
      </c>
      <c r="N178" s="560">
        <f t="shared" si="6"/>
        <v>181911.33000000002</v>
      </c>
      <c r="O178" s="556"/>
    </row>
    <row r="179" spans="8:15" ht="15.75" customHeight="1">
      <c r="H179" s="570" t="str">
        <f>'2022'!$D$744</f>
        <v>Obrigações Tributárias e Previdenciárias</v>
      </c>
      <c r="I179" s="567">
        <f>'2022'!BW744</f>
        <v>490.40999999999985</v>
      </c>
      <c r="K179" s="570" t="str">
        <f>'2022'!$D$744</f>
        <v>Obrigações Tributárias e Previdenciárias</v>
      </c>
      <c r="L179" s="560">
        <f>'2022'!S744</f>
        <v>2113.5700000000002</v>
      </c>
      <c r="M179" s="560">
        <f>'2022'!R744+'2022'!T744</f>
        <v>10457.039999999999</v>
      </c>
      <c r="N179" s="560">
        <f t="shared" si="6"/>
        <v>12570.609999999999</v>
      </c>
      <c r="O179" s="556"/>
    </row>
    <row r="180" spans="8:15" ht="15.75" customHeight="1">
      <c r="H180" s="570" t="str">
        <f>'2022'!$D$745</f>
        <v>Outras Despesas Correntes</v>
      </c>
      <c r="I180" s="567">
        <f>'2022'!BW745</f>
        <v>12120</v>
      </c>
      <c r="K180" s="570" t="str">
        <f>'2022'!$D$745</f>
        <v>Outras Despesas Correntes</v>
      </c>
      <c r="L180" s="560">
        <f>'2022'!S745</f>
        <v>0</v>
      </c>
      <c r="M180" s="560">
        <f>'2022'!R745+'2022'!T745</f>
        <v>13616.119999999999</v>
      </c>
      <c r="N180" s="560">
        <f t="shared" si="6"/>
        <v>13616.119999999999</v>
      </c>
      <c r="O180" s="556"/>
    </row>
    <row r="181" spans="8:15" ht="15.75" customHeight="1">
      <c r="H181" s="570" t="str">
        <f>'2022'!$D$746</f>
        <v>Obras e Instalações</v>
      </c>
      <c r="I181" s="567">
        <f>'2022'!BW746</f>
        <v>0</v>
      </c>
      <c r="K181" s="570" t="str">
        <f>'2022'!$D$746</f>
        <v>Obras e Instalações</v>
      </c>
      <c r="L181" s="560">
        <f>'2022'!S746</f>
        <v>0</v>
      </c>
      <c r="M181" s="560">
        <f>'2022'!R746+'2022'!T746</f>
        <v>232933.99</v>
      </c>
      <c r="N181" s="560">
        <f t="shared" si="6"/>
        <v>232933.99</v>
      </c>
      <c r="O181" s="556"/>
    </row>
    <row r="182" spans="8:15" ht="15.75" customHeight="1">
      <c r="H182" s="570" t="str">
        <f>'2022'!$D$747</f>
        <v>Equipamentos e Material Permanente</v>
      </c>
      <c r="I182" s="567">
        <f>'2022'!BW747</f>
        <v>616745.4999999</v>
      </c>
      <c r="K182" s="570" t="str">
        <f>'2022'!$D$747</f>
        <v>Equipamentos e Material Permanente</v>
      </c>
      <c r="L182" s="560">
        <f>'2022'!S747</f>
        <v>749796.72000000009</v>
      </c>
      <c r="M182" s="560">
        <f>'2022'!R747+'2022'!T747</f>
        <v>127125.3600001</v>
      </c>
      <c r="N182" s="560">
        <f t="shared" si="6"/>
        <v>876922.08000010008</v>
      </c>
      <c r="O182" s="556"/>
    </row>
    <row r="183" spans="8:15" ht="15.75" customHeight="1">
      <c r="H183" s="570" t="s">
        <v>1185</v>
      </c>
      <c r="I183" s="567">
        <f>SUM(I171:I182)</f>
        <v>1710512.2999988999</v>
      </c>
      <c r="K183" s="570" t="s">
        <v>1185</v>
      </c>
      <c r="L183" s="573">
        <f t="shared" ref="L183:N183" si="7">SUM(L170:L182)</f>
        <v>3243652.57</v>
      </c>
      <c r="M183" s="573">
        <f t="shared" si="7"/>
        <v>7530422.2200011006</v>
      </c>
      <c r="N183" s="573">
        <f t="shared" si="7"/>
        <v>10774074.7900011</v>
      </c>
      <c r="O183" s="556"/>
    </row>
    <row r="184" spans="8:15" ht="15.75" customHeight="1">
      <c r="H184" s="564"/>
      <c r="I184" s="564"/>
      <c r="K184" s="561"/>
      <c r="L184" s="561"/>
      <c r="M184" s="561"/>
      <c r="N184" s="561"/>
      <c r="O184" s="556"/>
    </row>
    <row r="185" spans="8:15" ht="15.75" customHeight="1">
      <c r="H185" s="564"/>
      <c r="I185" s="564"/>
      <c r="K185" s="561"/>
      <c r="L185" s="561"/>
      <c r="M185" s="561"/>
      <c r="N185" s="561"/>
      <c r="O185" s="556"/>
    </row>
    <row r="186" spans="8:15" ht="15.75" customHeight="1">
      <c r="H186" s="564"/>
      <c r="I186" s="564"/>
      <c r="K186" s="562"/>
      <c r="L186" s="561"/>
      <c r="M186" s="561"/>
      <c r="N186" s="561"/>
      <c r="O186" s="556"/>
    </row>
    <row r="187" spans="8:15" ht="15.75" customHeight="1">
      <c r="H187" s="564"/>
      <c r="I187" s="564"/>
      <c r="K187" s="561"/>
      <c r="L187" s="561"/>
      <c r="M187" s="561"/>
      <c r="N187" s="561"/>
      <c r="O187" s="556"/>
    </row>
    <row r="188" spans="8:15" ht="15.75" customHeight="1">
      <c r="H188" s="564"/>
      <c r="I188" s="564"/>
      <c r="K188" s="561"/>
      <c r="L188" s="561"/>
      <c r="M188" s="561"/>
      <c r="N188" s="561"/>
      <c r="O188" s="556"/>
    </row>
    <row r="189" spans="8:15" ht="15.75" customHeight="1">
      <c r="H189" s="564"/>
      <c r="I189" s="564"/>
      <c r="K189" s="561"/>
      <c r="L189" s="561"/>
      <c r="M189" s="561"/>
      <c r="N189" s="561"/>
      <c r="O189" s="556"/>
    </row>
    <row r="190" spans="8:15" ht="15.75" customHeight="1">
      <c r="H190" s="564"/>
      <c r="I190" s="564"/>
      <c r="K190" s="561"/>
      <c r="L190" s="561"/>
      <c r="M190" s="561"/>
      <c r="N190" s="561"/>
      <c r="O190" s="556"/>
    </row>
    <row r="191" spans="8:15" ht="15.75" customHeight="1">
      <c r="H191" s="564"/>
      <c r="I191" s="564"/>
      <c r="K191" s="561"/>
      <c r="L191" s="561"/>
      <c r="M191" s="561"/>
      <c r="N191" s="561"/>
      <c r="O191" s="556"/>
    </row>
    <row r="192" spans="8:15" ht="15.75" customHeight="1">
      <c r="H192" s="564"/>
      <c r="I192" s="564"/>
      <c r="K192" s="561"/>
      <c r="L192" s="561"/>
      <c r="M192" s="561"/>
      <c r="N192" s="561"/>
      <c r="O192" s="556"/>
    </row>
    <row r="193" spans="8:15" ht="15.75" customHeight="1">
      <c r="H193" s="564"/>
      <c r="I193" s="564"/>
      <c r="K193" s="561"/>
      <c r="L193" s="561"/>
      <c r="M193" s="561"/>
      <c r="N193" s="561"/>
      <c r="O193" s="556"/>
    </row>
    <row r="194" spans="8:15" ht="15.75" customHeight="1">
      <c r="H194" s="564"/>
      <c r="I194" s="564"/>
      <c r="K194" s="561"/>
      <c r="L194" s="561"/>
      <c r="M194" s="561"/>
      <c r="N194" s="561"/>
      <c r="O194" s="556"/>
    </row>
    <row r="195" spans="8:15" ht="15.75" customHeight="1">
      <c r="H195" s="564"/>
      <c r="I195" s="564"/>
      <c r="K195" s="561"/>
      <c r="L195" s="561"/>
      <c r="M195" s="561"/>
      <c r="N195" s="561"/>
      <c r="O195" s="556"/>
    </row>
    <row r="196" spans="8:15" ht="15.75" customHeight="1">
      <c r="H196" s="564"/>
      <c r="I196" s="564"/>
      <c r="K196" s="561"/>
      <c r="L196" s="561"/>
      <c r="M196" s="561"/>
      <c r="N196" s="561"/>
      <c r="O196" s="556"/>
    </row>
    <row r="197" spans="8:15" ht="15.75" customHeight="1">
      <c r="H197" s="564"/>
      <c r="I197" s="564"/>
      <c r="K197" s="561"/>
      <c r="L197" s="561"/>
      <c r="M197" s="561"/>
      <c r="N197" s="561"/>
      <c r="O197" s="556"/>
    </row>
    <row r="198" spans="8:15" ht="15.75" customHeight="1">
      <c r="H198" s="564"/>
      <c r="I198" s="564"/>
      <c r="K198" s="561"/>
      <c r="L198" s="561"/>
      <c r="M198" s="561"/>
      <c r="N198" s="561"/>
      <c r="O198" s="556"/>
    </row>
    <row r="199" spans="8:15" ht="15.75" customHeight="1">
      <c r="H199" s="564"/>
      <c r="I199" s="564"/>
      <c r="K199" s="561"/>
      <c r="L199" s="561"/>
      <c r="M199" s="561"/>
      <c r="N199" s="561"/>
      <c r="O199" s="556"/>
    </row>
    <row r="200" spans="8:15" ht="15.75" customHeight="1">
      <c r="H200" s="564"/>
      <c r="I200" s="564"/>
      <c r="K200" s="561"/>
      <c r="L200" s="561"/>
      <c r="M200" s="561"/>
      <c r="N200" s="561"/>
      <c r="O200" s="556"/>
    </row>
    <row r="201" spans="8:15" ht="15.75" customHeight="1">
      <c r="H201" s="564"/>
      <c r="I201" s="564"/>
      <c r="K201" s="561"/>
      <c r="L201" s="561"/>
      <c r="M201" s="561"/>
      <c r="N201" s="561"/>
      <c r="O201" s="556"/>
    </row>
    <row r="202" spans="8:15" ht="15.75" customHeight="1">
      <c r="H202" s="564"/>
      <c r="I202" s="564"/>
      <c r="K202" s="561"/>
      <c r="L202" s="561"/>
      <c r="M202" s="561"/>
      <c r="N202" s="561"/>
      <c r="O202" s="556"/>
    </row>
    <row r="203" spans="8:15" ht="15.75" customHeight="1">
      <c r="K203" s="556"/>
      <c r="L203" s="556"/>
      <c r="M203" s="556"/>
      <c r="N203" s="556"/>
      <c r="O203" s="556"/>
    </row>
    <row r="204" spans="8:15" ht="15.75" customHeight="1"/>
    <row r="205" spans="8:15" ht="15.75" customHeight="1"/>
    <row r="206" spans="8:15" ht="15.75" customHeight="1"/>
    <row r="207" spans="8:15" ht="15.75" customHeight="1"/>
    <row r="208" spans="8:15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8">
    <mergeCell ref="H62:I62"/>
    <mergeCell ref="K62:L62"/>
    <mergeCell ref="K88:L88"/>
    <mergeCell ref="K115:M115"/>
    <mergeCell ref="K142:M142"/>
    <mergeCell ref="K169:M169"/>
    <mergeCell ref="K32:L32"/>
    <mergeCell ref="K61:L61"/>
  </mergeCells>
  <pageMargins left="0.511811024" right="0.511811024" top="0.78740157499999996" bottom="0.78740157499999996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2022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2023-09-04T12:52:33Z</dcterms:modified>
</cp:coreProperties>
</file>